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carol\Dropbox\Declare\CLIENTES\Informes_Orientações\"/>
    </mc:Choice>
  </mc:AlternateContent>
  <xr:revisionPtr revIDLastSave="0" documentId="13_ncr:1_{5742FB02-7CEC-4569-8D3E-19FD04CB79FF}" xr6:coauthVersionLast="36" xr6:coauthVersionMax="36" xr10:uidLastSave="{00000000-0000-0000-0000-000000000000}"/>
  <workbookProtection workbookAlgorithmName="SHA-512" workbookHashValue="VNEl8qG3T2nsaqwwhOk63FvtG8ptFehALnxKeTlAEC7iZe1RPfqDkWoeCZiWIpHcYLgVn2XiYLpHJeklAlS20A==" workbookSaltValue="8pb3Gy/6FP1phnh5j3AT5g==" workbookSpinCount="100000" lockStructure="1"/>
  <bookViews>
    <workbookView xWindow="0" yWindow="0" windowWidth="28800" windowHeight="11172" xr2:uid="{ECD14EC4-07A2-41D5-9DA8-BC91BEF43D01}"/>
  </bookViews>
  <sheets>
    <sheet name="declare contábil" sheetId="13" r:id="rId1"/>
    <sheet name="INSTRUÇÕES" sheetId="2" r:id="rId2"/>
    <sheet name="Fator R" sheetId="5" r:id="rId3"/>
    <sheet name="Anexo I - Comércio" sheetId="12" r:id="rId4"/>
    <sheet name="Anexo II - Indústria" sheetId="14" r:id="rId5"/>
    <sheet name="Anexo III - Serviços" sheetId="15" r:id="rId6"/>
    <sheet name="Anexo IV - Serviços" sheetId="16" r:id="rId7"/>
    <sheet name="Anexo V - Serviços" sheetId="17" r:id="rId8"/>
    <sheet name="SUPORTE" sheetId="4" state="hidden" r:id="rId9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0" i="12" l="1"/>
  <c r="AA8" i="12" l="1"/>
  <c r="AA8" i="15" l="1"/>
  <c r="AA8" i="16"/>
  <c r="W12" i="17"/>
  <c r="W12" i="15"/>
  <c r="AB9" i="17"/>
  <c r="AA8" i="17"/>
  <c r="AA8" i="14"/>
  <c r="B5" i="5"/>
  <c r="X10" i="14"/>
  <c r="W10" i="12" l="1"/>
  <c r="V12" i="16"/>
  <c r="B4" i="4" l="1"/>
  <c r="U10" i="16"/>
  <c r="U11" i="16" s="1"/>
  <c r="V10" i="15"/>
  <c r="V11" i="15"/>
  <c r="B44" i="5" l="1"/>
  <c r="B92" i="15"/>
  <c r="B91" i="15"/>
  <c r="B90" i="15"/>
  <c r="B89" i="15"/>
  <c r="B81" i="15"/>
  <c r="B73" i="15"/>
  <c r="B65" i="15"/>
  <c r="B57" i="15"/>
  <c r="B49" i="15"/>
  <c r="B41" i="15"/>
  <c r="B33" i="15"/>
  <c r="B25" i="15"/>
  <c r="B89" i="16"/>
  <c r="B81" i="16"/>
  <c r="B73" i="16"/>
  <c r="B65" i="16"/>
  <c r="B57" i="16"/>
  <c r="B49" i="16"/>
  <c r="B41" i="16"/>
  <c r="B33" i="16"/>
  <c r="B25" i="16"/>
  <c r="B89" i="17"/>
  <c r="B81" i="17"/>
  <c r="B73" i="17"/>
  <c r="B65" i="17"/>
  <c r="B57" i="17"/>
  <c r="B49" i="17"/>
  <c r="B41" i="17"/>
  <c r="B33" i="17"/>
  <c r="B25" i="17"/>
  <c r="B89" i="14"/>
  <c r="B81" i="14"/>
  <c r="B73" i="14"/>
  <c r="B65" i="14"/>
  <c r="B57" i="14"/>
  <c r="B49" i="14"/>
  <c r="B41" i="14"/>
  <c r="B33" i="14"/>
  <c r="B25" i="14"/>
  <c r="B89" i="12"/>
  <c r="B81" i="12"/>
  <c r="B73" i="12"/>
  <c r="B65" i="12"/>
  <c r="B57" i="12"/>
  <c r="B49" i="12"/>
  <c r="B41" i="12"/>
  <c r="B33" i="12"/>
  <c r="B25" i="12"/>
  <c r="B80" i="15"/>
  <c r="B72" i="15"/>
  <c r="B64" i="15"/>
  <c r="B56" i="15"/>
  <c r="B48" i="15"/>
  <c r="B40" i="15"/>
  <c r="B32" i="15"/>
  <c r="B24" i="15"/>
  <c r="B88" i="16"/>
  <c r="B80" i="16"/>
  <c r="B72" i="16"/>
  <c r="B64" i="16"/>
  <c r="B56" i="16"/>
  <c r="B48" i="16"/>
  <c r="B40" i="16"/>
  <c r="B32" i="16"/>
  <c r="B24" i="16"/>
  <c r="B88" i="17"/>
  <c r="B80" i="17"/>
  <c r="B72" i="17"/>
  <c r="B64" i="17"/>
  <c r="B56" i="17"/>
  <c r="B48" i="17"/>
  <c r="B40" i="17"/>
  <c r="B32" i="17"/>
  <c r="B24" i="17"/>
  <c r="B88" i="14"/>
  <c r="B80" i="14"/>
  <c r="B72" i="14"/>
  <c r="B64" i="14"/>
  <c r="B56" i="14"/>
  <c r="B48" i="14"/>
  <c r="B40" i="14"/>
  <c r="B32" i="14"/>
  <c r="B24" i="14"/>
  <c r="B88" i="12"/>
  <c r="B80" i="12"/>
  <c r="B72" i="12"/>
  <c r="B64" i="12"/>
  <c r="B56" i="12"/>
  <c r="B88" i="15"/>
  <c r="B87" i="15"/>
  <c r="B86" i="15"/>
  <c r="B85" i="15"/>
  <c r="B77" i="15"/>
  <c r="B69" i="15"/>
  <c r="B61" i="15"/>
  <c r="B53" i="15"/>
  <c r="B45" i="15"/>
  <c r="B37" i="15"/>
  <c r="B29" i="15"/>
  <c r="B21" i="15"/>
  <c r="B85" i="16"/>
  <c r="B84" i="15"/>
  <c r="B71" i="15"/>
  <c r="B59" i="15"/>
  <c r="B46" i="15"/>
  <c r="B34" i="15"/>
  <c r="B92" i="16"/>
  <c r="B79" i="16"/>
  <c r="B69" i="16"/>
  <c r="B59" i="16"/>
  <c r="B47" i="16"/>
  <c r="B37" i="16"/>
  <c r="B27" i="16"/>
  <c r="B87" i="17"/>
  <c r="B77" i="17"/>
  <c r="B67" i="17"/>
  <c r="B55" i="17"/>
  <c r="B45" i="17"/>
  <c r="B35" i="17"/>
  <c r="B23" i="17"/>
  <c r="B85" i="14"/>
  <c r="B75" i="14"/>
  <c r="B63" i="14"/>
  <c r="B53" i="14"/>
  <c r="B43" i="14"/>
  <c r="B31" i="14"/>
  <c r="B21" i="14"/>
  <c r="B83" i="12"/>
  <c r="B71" i="12"/>
  <c r="B61" i="12"/>
  <c r="B51" i="12"/>
  <c r="B42" i="12"/>
  <c r="B32" i="12"/>
  <c r="B23" i="12"/>
  <c r="B27" i="15"/>
  <c r="B21" i="16"/>
  <c r="B39" i="17"/>
  <c r="B59" i="14"/>
  <c r="B87" i="12"/>
  <c r="B46" i="12"/>
  <c r="B51" i="15"/>
  <c r="B62" i="16"/>
  <c r="B92" i="17"/>
  <c r="B50" i="17"/>
  <c r="B78" i="14"/>
  <c r="B86" i="12"/>
  <c r="B45" i="12"/>
  <c r="B74" i="12"/>
  <c r="B83" i="15"/>
  <c r="B70" i="15"/>
  <c r="B58" i="15"/>
  <c r="B44" i="15"/>
  <c r="B31" i="15"/>
  <c r="B91" i="16"/>
  <c r="B78" i="16"/>
  <c r="B68" i="16"/>
  <c r="B58" i="16"/>
  <c r="B46" i="16"/>
  <c r="B36" i="16"/>
  <c r="B26" i="16"/>
  <c r="B86" i="17"/>
  <c r="B76" i="17"/>
  <c r="B66" i="17"/>
  <c r="B54" i="17"/>
  <c r="B44" i="17"/>
  <c r="B34" i="17"/>
  <c r="B22" i="17"/>
  <c r="B84" i="14"/>
  <c r="B74" i="14"/>
  <c r="B62" i="14"/>
  <c r="B52" i="14"/>
  <c r="B42" i="14"/>
  <c r="B30" i="14"/>
  <c r="B92" i="12"/>
  <c r="B82" i="12"/>
  <c r="B70" i="12"/>
  <c r="B60" i="12"/>
  <c r="B50" i="12"/>
  <c r="B40" i="12"/>
  <c r="B31" i="12"/>
  <c r="B22" i="12"/>
  <c r="B39" i="15"/>
  <c r="B53" i="16"/>
  <c r="B31" i="16"/>
  <c r="B61" i="17"/>
  <c r="B79" i="14"/>
  <c r="B37" i="14"/>
  <c r="B67" i="12"/>
  <c r="B28" i="12"/>
  <c r="B38" i="15"/>
  <c r="B84" i="16"/>
  <c r="B42" i="16"/>
  <c r="B60" i="17"/>
  <c r="B90" i="14"/>
  <c r="B46" i="14"/>
  <c r="B76" i="12"/>
  <c r="B36" i="12"/>
  <c r="B22" i="14"/>
  <c r="B43" i="12"/>
  <c r="B82" i="15"/>
  <c r="B68" i="15"/>
  <c r="B55" i="15"/>
  <c r="B43" i="15"/>
  <c r="B30" i="15"/>
  <c r="B90" i="16"/>
  <c r="B77" i="16"/>
  <c r="B67" i="16"/>
  <c r="B55" i="16"/>
  <c r="B45" i="16"/>
  <c r="B35" i="16"/>
  <c r="B23" i="16"/>
  <c r="B85" i="17"/>
  <c r="B75" i="17"/>
  <c r="B63" i="17"/>
  <c r="B53" i="17"/>
  <c r="B43" i="17"/>
  <c r="B31" i="17"/>
  <c r="B21" i="17"/>
  <c r="B83" i="14"/>
  <c r="B71" i="14"/>
  <c r="B61" i="14"/>
  <c r="B51" i="14"/>
  <c r="B39" i="14"/>
  <c r="B29" i="14"/>
  <c r="B91" i="12"/>
  <c r="B79" i="12"/>
  <c r="B69" i="12"/>
  <c r="B59" i="12"/>
  <c r="B48" i="12"/>
  <c r="B39" i="12"/>
  <c r="B30" i="12"/>
  <c r="B21" i="12"/>
  <c r="B52" i="15"/>
  <c r="B63" i="16"/>
  <c r="B83" i="17"/>
  <c r="B51" i="17"/>
  <c r="B91" i="14"/>
  <c r="B47" i="14"/>
  <c r="B77" i="12"/>
  <c r="B37" i="12"/>
  <c r="B76" i="15"/>
  <c r="B74" i="16"/>
  <c r="B30" i="16"/>
  <c r="B70" i="17"/>
  <c r="B38" i="17"/>
  <c r="B68" i="14"/>
  <c r="B36" i="14"/>
  <c r="B66" i="12"/>
  <c r="B27" i="12"/>
  <c r="B52" i="12"/>
  <c r="B79" i="15"/>
  <c r="B67" i="15"/>
  <c r="B54" i="15"/>
  <c r="B42" i="15"/>
  <c r="B28" i="15"/>
  <c r="B87" i="16"/>
  <c r="B76" i="16"/>
  <c r="B66" i="16"/>
  <c r="B54" i="16"/>
  <c r="B44" i="16"/>
  <c r="B34" i="16"/>
  <c r="B22" i="16"/>
  <c r="B84" i="17"/>
  <c r="B74" i="17"/>
  <c r="B62" i="17"/>
  <c r="B52" i="17"/>
  <c r="B42" i="17"/>
  <c r="B30" i="17"/>
  <c r="B92" i="14"/>
  <c r="B82" i="14"/>
  <c r="B70" i="14"/>
  <c r="B60" i="14"/>
  <c r="B50" i="14"/>
  <c r="B38" i="14"/>
  <c r="B28" i="14"/>
  <c r="B90" i="12"/>
  <c r="B78" i="12"/>
  <c r="B68" i="12"/>
  <c r="B58" i="12"/>
  <c r="B47" i="12"/>
  <c r="B38" i="12"/>
  <c r="B29" i="12"/>
  <c r="B66" i="15"/>
  <c r="B86" i="16"/>
  <c r="B75" i="16"/>
  <c r="B43" i="16"/>
  <c r="B71" i="17"/>
  <c r="B29" i="17"/>
  <c r="B69" i="14"/>
  <c r="B27" i="14"/>
  <c r="B55" i="12"/>
  <c r="B63" i="15"/>
  <c r="B26" i="15"/>
  <c r="B52" i="16"/>
  <c r="B82" i="17"/>
  <c r="B28" i="17"/>
  <c r="B58" i="14"/>
  <c r="B26" i="14"/>
  <c r="B54" i="12"/>
  <c r="B84" i="12"/>
  <c r="B34" i="12"/>
  <c r="B78" i="15"/>
  <c r="B75" i="15"/>
  <c r="B62" i="15"/>
  <c r="B50" i="15"/>
  <c r="B36" i="15"/>
  <c r="B23" i="15"/>
  <c r="B83" i="16"/>
  <c r="B71" i="16"/>
  <c r="B61" i="16"/>
  <c r="B51" i="16"/>
  <c r="B39" i="16"/>
  <c r="B29" i="16"/>
  <c r="B91" i="17"/>
  <c r="B79" i="17"/>
  <c r="B69" i="17"/>
  <c r="B59" i="17"/>
  <c r="B47" i="17"/>
  <c r="B37" i="17"/>
  <c r="B27" i="17"/>
  <c r="B87" i="14"/>
  <c r="B77" i="14"/>
  <c r="B67" i="14"/>
  <c r="B55" i="14"/>
  <c r="B45" i="14"/>
  <c r="B35" i="14"/>
  <c r="B23" i="14"/>
  <c r="B85" i="12"/>
  <c r="B75" i="12"/>
  <c r="B63" i="12"/>
  <c r="B53" i="12"/>
  <c r="B44" i="12"/>
  <c r="B35" i="12"/>
  <c r="B26" i="12"/>
  <c r="B74" i="15"/>
  <c r="B60" i="15"/>
  <c r="B47" i="15"/>
  <c r="B35" i="15"/>
  <c r="B22" i="15"/>
  <c r="B82" i="16"/>
  <c r="B70" i="16"/>
  <c r="B60" i="16"/>
  <c r="B50" i="16"/>
  <c r="B38" i="16"/>
  <c r="B28" i="16"/>
  <c r="B90" i="17"/>
  <c r="B78" i="17"/>
  <c r="B68" i="17"/>
  <c r="B58" i="17"/>
  <c r="B46" i="17"/>
  <c r="B36" i="17"/>
  <c r="B26" i="17"/>
  <c r="B86" i="14"/>
  <c r="B76" i="14"/>
  <c r="B66" i="14"/>
  <c r="B54" i="14"/>
  <c r="B44" i="14"/>
  <c r="B34" i="14"/>
  <c r="B62" i="12"/>
  <c r="B24" i="12"/>
  <c r="B36" i="5"/>
  <c r="B77" i="5"/>
  <c r="B69" i="5"/>
  <c r="B61" i="5"/>
  <c r="B53" i="5"/>
  <c r="B45" i="5"/>
  <c r="B37" i="5"/>
  <c r="B29" i="5"/>
  <c r="B21" i="5"/>
  <c r="B13" i="5"/>
  <c r="B83" i="5"/>
  <c r="B75" i="5"/>
  <c r="B67" i="5"/>
  <c r="B59" i="5"/>
  <c r="B51" i="5"/>
  <c r="B43" i="5"/>
  <c r="B35" i="5"/>
  <c r="B27" i="5"/>
  <c r="B19" i="5"/>
  <c r="B63" i="5"/>
  <c r="B31" i="5"/>
  <c r="B82" i="5"/>
  <c r="B74" i="5"/>
  <c r="B66" i="5"/>
  <c r="B58" i="5"/>
  <c r="B50" i="5"/>
  <c r="B42" i="5"/>
  <c r="B34" i="5"/>
  <c r="B26" i="5"/>
  <c r="B18" i="5"/>
  <c r="B79" i="5"/>
  <c r="B47" i="5"/>
  <c r="B23" i="5"/>
  <c r="B81" i="5"/>
  <c r="B73" i="5"/>
  <c r="B65" i="5"/>
  <c r="B57" i="5"/>
  <c r="B49" i="5"/>
  <c r="B41" i="5"/>
  <c r="B33" i="5"/>
  <c r="B25" i="5"/>
  <c r="B17" i="5"/>
  <c r="B55" i="5"/>
  <c r="B14" i="5"/>
  <c r="B84" i="5"/>
  <c r="B80" i="5"/>
  <c r="B72" i="5"/>
  <c r="B64" i="5"/>
  <c r="B56" i="5"/>
  <c r="B48" i="5"/>
  <c r="B40" i="5"/>
  <c r="B32" i="5"/>
  <c r="B24" i="5"/>
  <c r="B16" i="5"/>
  <c r="B71" i="5"/>
  <c r="B39" i="5"/>
  <c r="B15" i="5"/>
  <c r="B78" i="5"/>
  <c r="B70" i="5"/>
  <c r="B62" i="5"/>
  <c r="B54" i="5"/>
  <c r="B46" i="5"/>
  <c r="B38" i="5"/>
  <c r="B30" i="5"/>
  <c r="B22" i="5"/>
  <c r="B76" i="5"/>
  <c r="B52" i="5"/>
  <c r="B28" i="5"/>
  <c r="B60" i="5"/>
  <c r="B68" i="5"/>
  <c r="B20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C20" i="5" l="1"/>
  <c r="C52" i="5"/>
  <c r="C54" i="5"/>
  <c r="C44" i="5"/>
  <c r="C55" i="5"/>
  <c r="C49" i="5"/>
  <c r="C18" i="5"/>
  <c r="C82" i="5"/>
  <c r="C43" i="5"/>
  <c r="C21" i="5"/>
  <c r="C16" i="5"/>
  <c r="C68" i="5"/>
  <c r="C62" i="5"/>
  <c r="C24" i="5"/>
  <c r="C57" i="5"/>
  <c r="C26" i="5"/>
  <c r="C31" i="5"/>
  <c r="C51" i="5"/>
  <c r="C29" i="5"/>
  <c r="C80" i="5"/>
  <c r="C60" i="5"/>
  <c r="C70" i="5"/>
  <c r="C32" i="5"/>
  <c r="C65" i="5"/>
  <c r="C34" i="5"/>
  <c r="C63" i="5"/>
  <c r="C59" i="5"/>
  <c r="C37" i="5"/>
  <c r="C78" i="5"/>
  <c r="C15" i="5"/>
  <c r="C40" i="5"/>
  <c r="C73" i="5"/>
  <c r="C42" i="5"/>
  <c r="C67" i="5"/>
  <c r="C45" i="5"/>
  <c r="C76" i="5"/>
  <c r="C22" i="5"/>
  <c r="C39" i="5"/>
  <c r="C48" i="5"/>
  <c r="C17" i="5"/>
  <c r="C81" i="5"/>
  <c r="C23" i="5"/>
  <c r="C50" i="5"/>
  <c r="C75" i="5"/>
  <c r="C53" i="5"/>
  <c r="C28" i="5"/>
  <c r="C30" i="5"/>
  <c r="C71" i="5"/>
  <c r="C56" i="5"/>
  <c r="C84" i="5"/>
  <c r="C14" i="5"/>
  <c r="C25" i="5"/>
  <c r="C47" i="5"/>
  <c r="C58" i="5"/>
  <c r="C19" i="5"/>
  <c r="C83" i="5"/>
  <c r="C61" i="5"/>
  <c r="C36" i="5"/>
  <c r="C38" i="5"/>
  <c r="C64" i="5"/>
  <c r="C33" i="5"/>
  <c r="C79" i="5"/>
  <c r="C66" i="5"/>
  <c r="C27" i="5"/>
  <c r="C69" i="5"/>
  <c r="C46" i="5"/>
  <c r="C72" i="5"/>
  <c r="C41" i="5"/>
  <c r="C74" i="5"/>
  <c r="C35" i="5"/>
  <c r="C13" i="5"/>
  <c r="C77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D81" i="12" l="1"/>
  <c r="D81" i="15"/>
  <c r="D81" i="17"/>
  <c r="D81" i="16"/>
  <c r="D81" i="14"/>
  <c r="D73" i="12"/>
  <c r="D73" i="17"/>
  <c r="D73" i="15"/>
  <c r="D73" i="14"/>
  <c r="D73" i="16"/>
  <c r="D34" i="12"/>
  <c r="D34" i="17"/>
  <c r="D34" i="16"/>
  <c r="D34" i="15"/>
  <c r="D34" i="14"/>
  <c r="D90" i="12"/>
  <c r="D90" i="16"/>
  <c r="D90" i="14"/>
  <c r="D90" i="15"/>
  <c r="D90" i="17"/>
  <c r="D25" i="12"/>
  <c r="D25" i="14"/>
  <c r="D25" i="17"/>
  <c r="D25" i="16"/>
  <c r="D25" i="15"/>
  <c r="D21" i="12"/>
  <c r="D21" i="15"/>
  <c r="D21" i="14"/>
  <c r="D21" i="16"/>
  <c r="D21" i="17"/>
  <c r="D74" i="12"/>
  <c r="D74" i="14"/>
  <c r="D74" i="16"/>
  <c r="D74" i="17"/>
  <c r="D74" i="15"/>
  <c r="D27" i="12"/>
  <c r="D27" i="16"/>
  <c r="D27" i="15"/>
  <c r="D27" i="14"/>
  <c r="D27" i="17"/>
  <c r="D38" i="12"/>
  <c r="D38" i="14"/>
  <c r="D38" i="17"/>
  <c r="D38" i="15"/>
  <c r="D38" i="16"/>
  <c r="D56" i="12"/>
  <c r="D56" i="14"/>
  <c r="D56" i="16"/>
  <c r="D56" i="17"/>
  <c r="D56" i="15"/>
  <c r="D48" i="12"/>
  <c r="D48" i="17"/>
  <c r="D48" i="14"/>
  <c r="D48" i="16"/>
  <c r="D48" i="15"/>
  <c r="D40" i="12"/>
  <c r="D40" i="16"/>
  <c r="D40" i="15"/>
  <c r="D40" i="17"/>
  <c r="D40" i="14"/>
  <c r="D65" i="12"/>
  <c r="D65" i="16"/>
  <c r="D65" i="14"/>
  <c r="D65" i="15"/>
  <c r="D65" i="17"/>
  <c r="D26" i="12"/>
  <c r="D26" i="16"/>
  <c r="D26" i="15"/>
  <c r="D26" i="14"/>
  <c r="D26" i="17"/>
  <c r="D35" i="12"/>
  <c r="D35" i="16"/>
  <c r="D35" i="17"/>
  <c r="D35" i="15"/>
  <c r="D35" i="14"/>
  <c r="D43" i="12"/>
  <c r="D43" i="14"/>
  <c r="D43" i="16"/>
  <c r="D43" i="15"/>
  <c r="D43" i="17"/>
  <c r="D87" i="12"/>
  <c r="D87" i="17"/>
  <c r="D87" i="16"/>
  <c r="D87" i="15"/>
  <c r="D87" i="14"/>
  <c r="D66" i="12"/>
  <c r="D66" i="15"/>
  <c r="D66" i="17"/>
  <c r="D66" i="16"/>
  <c r="D66" i="14"/>
  <c r="D36" i="12"/>
  <c r="D36" i="16"/>
  <c r="D36" i="15"/>
  <c r="D36" i="17"/>
  <c r="D36" i="14"/>
  <c r="D47" i="12"/>
  <c r="D47" i="15"/>
  <c r="D47" i="14"/>
  <c r="D47" i="17"/>
  <c r="D47" i="16"/>
  <c r="D23" i="12"/>
  <c r="D23" i="16"/>
  <c r="D23" i="15"/>
  <c r="D23" i="14"/>
  <c r="D23" i="17"/>
  <c r="D78" i="12"/>
  <c r="D78" i="15"/>
  <c r="D78" i="17"/>
  <c r="D78" i="14"/>
  <c r="D78" i="16"/>
  <c r="D32" i="12"/>
  <c r="D32" i="14"/>
  <c r="D32" i="16"/>
  <c r="D32" i="17"/>
  <c r="D32" i="15"/>
  <c r="D57" i="12"/>
  <c r="D57" i="15"/>
  <c r="D57" i="14"/>
  <c r="D57" i="16"/>
  <c r="D57" i="17"/>
  <c r="D79" i="12"/>
  <c r="D79" i="16"/>
  <c r="D79" i="15"/>
  <c r="D79" i="14"/>
  <c r="D79" i="17"/>
  <c r="D82" i="12"/>
  <c r="D82" i="15"/>
  <c r="D82" i="17"/>
  <c r="D82" i="14"/>
  <c r="D82" i="16"/>
  <c r="D41" i="12"/>
  <c r="D41" i="16"/>
  <c r="D41" i="17"/>
  <c r="D41" i="15"/>
  <c r="D41" i="14"/>
  <c r="D55" i="12"/>
  <c r="D55" i="14"/>
  <c r="D55" i="16"/>
  <c r="D55" i="17"/>
  <c r="D55" i="15"/>
  <c r="D61" i="12"/>
  <c r="D61" i="14"/>
  <c r="D61" i="16"/>
  <c r="D61" i="15"/>
  <c r="D61" i="17"/>
  <c r="D30" i="12"/>
  <c r="D30" i="14"/>
  <c r="D30" i="16"/>
  <c r="D30" i="15"/>
  <c r="D30" i="17"/>
  <c r="D86" i="12"/>
  <c r="D86" i="15"/>
  <c r="D86" i="14"/>
  <c r="D86" i="16"/>
  <c r="D86" i="17"/>
  <c r="D68" i="12"/>
  <c r="D68" i="16"/>
  <c r="D68" i="17"/>
  <c r="D68" i="15"/>
  <c r="D68" i="14"/>
  <c r="D70" i="12"/>
  <c r="D70" i="16"/>
  <c r="D70" i="15"/>
  <c r="D70" i="14"/>
  <c r="D70" i="17"/>
  <c r="D63" i="12"/>
  <c r="D63" i="17"/>
  <c r="D63" i="15"/>
  <c r="D63" i="14"/>
  <c r="D63" i="16"/>
  <c r="D85" i="12"/>
  <c r="D85" i="14"/>
  <c r="D85" i="17"/>
  <c r="D85" i="16"/>
  <c r="D85" i="15"/>
  <c r="D49" i="12"/>
  <c r="D49" i="15"/>
  <c r="D49" i="17"/>
  <c r="D49" i="14"/>
  <c r="D49" i="16"/>
  <c r="D72" i="12"/>
  <c r="D72" i="15"/>
  <c r="D72" i="14"/>
  <c r="D72" i="16"/>
  <c r="D72" i="17"/>
  <c r="D33" i="12"/>
  <c r="D33" i="17"/>
  <c r="D33" i="16"/>
  <c r="D33" i="15"/>
  <c r="D33" i="14"/>
  <c r="D83" i="12"/>
  <c r="D83" i="14"/>
  <c r="D83" i="17"/>
  <c r="D83" i="16"/>
  <c r="D83" i="15"/>
  <c r="D84" i="12"/>
  <c r="D84" i="16"/>
  <c r="D84" i="14"/>
  <c r="D84" i="17"/>
  <c r="D84" i="15"/>
  <c r="D45" i="12"/>
  <c r="D45" i="14"/>
  <c r="D45" i="15"/>
  <c r="D45" i="17"/>
  <c r="D45" i="16"/>
  <c r="D88" i="12"/>
  <c r="D88" i="17"/>
  <c r="D88" i="15"/>
  <c r="D88" i="14"/>
  <c r="D88" i="16"/>
  <c r="D76" i="12"/>
  <c r="D76" i="17"/>
  <c r="D76" i="15"/>
  <c r="D76" i="14"/>
  <c r="D76" i="16"/>
  <c r="D52" i="12"/>
  <c r="D52" i="16"/>
  <c r="D52" i="17"/>
  <c r="D52" i="14"/>
  <c r="D52" i="15"/>
  <c r="D80" i="12"/>
  <c r="D80" i="15"/>
  <c r="D80" i="14"/>
  <c r="D80" i="16"/>
  <c r="D80" i="17"/>
  <c r="D46" i="12"/>
  <c r="D46" i="15"/>
  <c r="D46" i="14"/>
  <c r="D46" i="17"/>
  <c r="D46" i="16"/>
  <c r="D22" i="12"/>
  <c r="D22" i="15"/>
  <c r="D22" i="14"/>
  <c r="D22" i="17"/>
  <c r="D22" i="16"/>
  <c r="D58" i="12"/>
  <c r="D58" i="17"/>
  <c r="D58" i="16"/>
  <c r="D58" i="14"/>
  <c r="D58" i="15"/>
  <c r="D53" i="12"/>
  <c r="D53" i="17"/>
  <c r="D53" i="16"/>
  <c r="D53" i="14"/>
  <c r="D53" i="15"/>
  <c r="D67" i="12"/>
  <c r="D67" i="14"/>
  <c r="D67" i="15"/>
  <c r="D67" i="16"/>
  <c r="D67" i="17"/>
  <c r="D37" i="12"/>
  <c r="D37" i="15"/>
  <c r="D37" i="16"/>
  <c r="D37" i="17"/>
  <c r="D37" i="14"/>
  <c r="D24" i="12"/>
  <c r="D24" i="14"/>
  <c r="D24" i="16"/>
  <c r="D24" i="17"/>
  <c r="D24" i="15"/>
  <c r="D62" i="12"/>
  <c r="D62" i="17"/>
  <c r="D62" i="14"/>
  <c r="D62" i="16"/>
  <c r="D62" i="15"/>
  <c r="D54" i="12"/>
  <c r="D54" i="15"/>
  <c r="D54" i="14"/>
  <c r="D54" i="17"/>
  <c r="D54" i="16"/>
  <c r="D44" i="12"/>
  <c r="D44" i="17"/>
  <c r="D44" i="15"/>
  <c r="D44" i="14"/>
  <c r="D44" i="16"/>
  <c r="D92" i="12"/>
  <c r="D92" i="14"/>
  <c r="D92" i="16"/>
  <c r="D92" i="17"/>
  <c r="D92" i="15"/>
  <c r="D31" i="12"/>
  <c r="D31" i="14"/>
  <c r="D31" i="16"/>
  <c r="D31" i="15"/>
  <c r="D31" i="17"/>
  <c r="D75" i="12"/>
  <c r="D75" i="14"/>
  <c r="D75" i="16"/>
  <c r="D75" i="17"/>
  <c r="D75" i="15"/>
  <c r="D71" i="12"/>
  <c r="D71" i="16"/>
  <c r="D71" i="15"/>
  <c r="D71" i="14"/>
  <c r="D71" i="17"/>
  <c r="D59" i="12"/>
  <c r="D59" i="14"/>
  <c r="D59" i="17"/>
  <c r="D59" i="16"/>
  <c r="D59" i="15"/>
  <c r="D29" i="12"/>
  <c r="D29" i="17"/>
  <c r="D29" i="15"/>
  <c r="D29" i="16"/>
  <c r="D29" i="14"/>
  <c r="D60" i="12"/>
  <c r="D60" i="16"/>
  <c r="D60" i="17"/>
  <c r="D60" i="15"/>
  <c r="D60" i="14"/>
  <c r="D91" i="12"/>
  <c r="D91" i="16"/>
  <c r="D91" i="14"/>
  <c r="D91" i="15"/>
  <c r="D91" i="17"/>
  <c r="D77" i="12"/>
  <c r="D77" i="16"/>
  <c r="D77" i="15"/>
  <c r="D77" i="17"/>
  <c r="D77" i="14"/>
  <c r="D69" i="12"/>
  <c r="D69" i="16"/>
  <c r="D69" i="15"/>
  <c r="D69" i="14"/>
  <c r="D69" i="17"/>
  <c r="D64" i="12"/>
  <c r="D64" i="14"/>
  <c r="D64" i="17"/>
  <c r="D64" i="16"/>
  <c r="D64" i="15"/>
  <c r="D89" i="12"/>
  <c r="D89" i="17"/>
  <c r="D89" i="16"/>
  <c r="D89" i="14"/>
  <c r="D89" i="15"/>
  <c r="D50" i="12"/>
  <c r="D50" i="17"/>
  <c r="D50" i="16"/>
  <c r="D50" i="15"/>
  <c r="D50" i="14"/>
  <c r="D42" i="12"/>
  <c r="D42" i="17"/>
  <c r="D42" i="16"/>
  <c r="D42" i="15"/>
  <c r="D42" i="14"/>
  <c r="D39" i="12"/>
  <c r="D39" i="14"/>
  <c r="D39" i="16"/>
  <c r="D39" i="15"/>
  <c r="D39" i="17"/>
  <c r="D51" i="12"/>
  <c r="D51" i="14"/>
  <c r="D51" i="16"/>
  <c r="D51" i="17"/>
  <c r="D51" i="15"/>
  <c r="D28" i="12"/>
  <c r="D28" i="17"/>
  <c r="D28" i="14"/>
  <c r="D28" i="15"/>
  <c r="D28" i="16"/>
  <c r="B8" i="4"/>
  <c r="B35" i="4" l="1"/>
  <c r="AA9" i="14" s="1"/>
  <c r="B5" i="14" s="1"/>
  <c r="AA11" i="16"/>
  <c r="AA11" i="15"/>
  <c r="AA11" i="17"/>
  <c r="G8" i="15"/>
  <c r="G8" i="16"/>
  <c r="G8" i="12"/>
  <c r="G8" i="17"/>
  <c r="G8" i="14"/>
  <c r="E24" i="5"/>
  <c r="F24" i="5" s="1"/>
  <c r="E31" i="5"/>
  <c r="F31" i="5" s="1"/>
  <c r="E32" i="5"/>
  <c r="F32" i="5" s="1"/>
  <c r="E26" i="5"/>
  <c r="F26" i="5" s="1"/>
  <c r="E33" i="5"/>
  <c r="F33" i="5" s="1"/>
  <c r="E27" i="5"/>
  <c r="F27" i="5" s="1"/>
  <c r="E29" i="5"/>
  <c r="F29" i="5" s="1"/>
  <c r="E30" i="5"/>
  <c r="F30" i="5" s="1"/>
  <c r="E28" i="5"/>
  <c r="F28" i="5" s="1"/>
  <c r="E25" i="5"/>
  <c r="F25" i="5" s="1"/>
  <c r="E2" i="4"/>
  <c r="E5" i="4" s="1"/>
  <c r="AA10" i="15" l="1"/>
  <c r="AA10" i="16"/>
  <c r="AA10" i="17"/>
  <c r="AA9" i="12"/>
  <c r="B5" i="12" s="1"/>
  <c r="F2" i="4"/>
  <c r="F5" i="4" s="1"/>
  <c r="E12" i="4"/>
  <c r="E3" i="4"/>
  <c r="F12" i="4" l="1"/>
  <c r="F3" i="4"/>
  <c r="G2" i="4"/>
  <c r="G5" i="4" s="1"/>
  <c r="G12" i="4" l="1"/>
  <c r="G3" i="4"/>
  <c r="H2" i="4"/>
  <c r="H5" i="4" s="1"/>
  <c r="H12" i="4" l="1"/>
  <c r="I2" i="4"/>
  <c r="I5" i="4" s="1"/>
  <c r="H3" i="4"/>
  <c r="I12" i="4" l="1"/>
  <c r="I3" i="4"/>
  <c r="J2" i="4"/>
  <c r="J5" i="4" s="1"/>
  <c r="J12" i="4" l="1"/>
  <c r="J3" i="4"/>
  <c r="K2" i="4"/>
  <c r="K5" i="4" s="1"/>
  <c r="K12" i="4" l="1"/>
  <c r="L2" i="4"/>
  <c r="L5" i="4" s="1"/>
  <c r="K3" i="4"/>
  <c r="L12" i="4" l="1"/>
  <c r="M2" i="4"/>
  <c r="M5" i="4" s="1"/>
  <c r="L3" i="4"/>
  <c r="M12" i="4" l="1"/>
  <c r="N2" i="4"/>
  <c r="N5" i="4" s="1"/>
  <c r="M3" i="4"/>
  <c r="N12" i="4" l="1"/>
  <c r="N3" i="4"/>
  <c r="O2" i="4"/>
  <c r="O5" i="4" s="1"/>
  <c r="O12" i="4" l="1"/>
  <c r="O3" i="4"/>
  <c r="P2" i="4"/>
  <c r="P5" i="4" s="1"/>
  <c r="E21" i="5"/>
  <c r="F21" i="5" s="1"/>
  <c r="E13" i="5"/>
  <c r="F13" i="5" s="1"/>
  <c r="E15" i="5"/>
  <c r="F15" i="5" s="1"/>
  <c r="E20" i="5"/>
  <c r="F20" i="5" s="1"/>
  <c r="E14" i="5"/>
  <c r="F14" i="5" s="1"/>
  <c r="E22" i="5"/>
  <c r="F22" i="5" s="1"/>
  <c r="E23" i="5"/>
  <c r="F23" i="5" s="1"/>
  <c r="E16" i="5"/>
  <c r="F16" i="5" s="1"/>
  <c r="E17" i="5"/>
  <c r="F17" i="5" s="1"/>
  <c r="E18" i="5"/>
  <c r="F18" i="5" s="1"/>
  <c r="E19" i="5"/>
  <c r="F19" i="5" s="1"/>
  <c r="B17" i="4"/>
  <c r="P3" i="4" l="1"/>
  <c r="Q2" i="4"/>
  <c r="Q5" i="4" s="1"/>
  <c r="P12" i="4"/>
  <c r="B14" i="4" l="1"/>
  <c r="O4" i="4" s="1"/>
  <c r="O6" i="4" s="1"/>
  <c r="O8" i="4" s="1"/>
  <c r="Q3" i="4"/>
  <c r="Q4" i="4" s="1"/>
  <c r="C8" i="17" s="1"/>
  <c r="Q12" i="4"/>
  <c r="L4" i="4" l="1"/>
  <c r="L6" i="4" s="1"/>
  <c r="L7" i="4" s="1"/>
  <c r="P4" i="4"/>
  <c r="P6" i="4" s="1"/>
  <c r="P8" i="4" s="1"/>
  <c r="M4" i="4"/>
  <c r="M6" i="4" s="1"/>
  <c r="M7" i="4" s="1"/>
  <c r="I4" i="4"/>
  <c r="I6" i="4" s="1"/>
  <c r="I9" i="4" s="1"/>
  <c r="I10" i="4" s="1"/>
  <c r="H4" i="4"/>
  <c r="H6" i="4" s="1"/>
  <c r="H7" i="4" s="1"/>
  <c r="AA9" i="17"/>
  <c r="G4" i="4"/>
  <c r="G6" i="4" s="1"/>
  <c r="G9" i="4" s="1"/>
  <c r="G10" i="4" s="1"/>
  <c r="K4" i="4"/>
  <c r="K6" i="4" s="1"/>
  <c r="K7" i="4" s="1"/>
  <c r="E4" i="4"/>
  <c r="E6" i="4" s="1"/>
  <c r="E7" i="4" s="1"/>
  <c r="C8" i="15"/>
  <c r="C8" i="5"/>
  <c r="C8" i="12"/>
  <c r="O7" i="4"/>
  <c r="Q6" i="4"/>
  <c r="F8" i="12" s="1"/>
  <c r="C8" i="16"/>
  <c r="D8" i="5"/>
  <c r="E8" i="5" s="1"/>
  <c r="C8" i="14"/>
  <c r="N4" i="4"/>
  <c r="N6" i="4" s="1"/>
  <c r="N7" i="4" s="1"/>
  <c r="J4" i="4"/>
  <c r="J6" i="4" s="1"/>
  <c r="J7" i="4" s="1"/>
  <c r="F4" i="4"/>
  <c r="F6" i="4" s="1"/>
  <c r="F9" i="4" s="1"/>
  <c r="F10" i="4" s="1"/>
  <c r="O9" i="4"/>
  <c r="O10" i="4" s="1"/>
  <c r="AA12" i="17"/>
  <c r="M9" i="4" l="1"/>
  <c r="M10" i="4" s="1"/>
  <c r="I8" i="4"/>
  <c r="I11" i="4" s="1"/>
  <c r="M8" i="4"/>
  <c r="L8" i="4"/>
  <c r="L9" i="4"/>
  <c r="L10" i="4" s="1"/>
  <c r="I7" i="4"/>
  <c r="H8" i="4"/>
  <c r="H9" i="4"/>
  <c r="H10" i="4" s="1"/>
  <c r="P7" i="4"/>
  <c r="P9" i="4"/>
  <c r="P10" i="4" s="1"/>
  <c r="G7" i="4"/>
  <c r="F8" i="4"/>
  <c r="F11" i="4" s="1"/>
  <c r="Y8" i="15"/>
  <c r="T8" i="15" s="1"/>
  <c r="B5" i="17"/>
  <c r="K9" i="4"/>
  <c r="K10" i="4" s="1"/>
  <c r="G8" i="4"/>
  <c r="G11" i="4" s="1"/>
  <c r="E9" i="4"/>
  <c r="E10" i="4" s="1"/>
  <c r="J9" i="4"/>
  <c r="J10" i="4" s="1"/>
  <c r="E8" i="4"/>
  <c r="K8" i="4"/>
  <c r="Q7" i="4"/>
  <c r="Y8" i="17"/>
  <c r="V8" i="17" s="1"/>
  <c r="J8" i="4"/>
  <c r="N8" i="4"/>
  <c r="F8" i="15"/>
  <c r="F8" i="17"/>
  <c r="X8" i="16"/>
  <c r="Q14" i="14"/>
  <c r="H8" i="14" s="1"/>
  <c r="F8" i="16"/>
  <c r="F8" i="14"/>
  <c r="Q14" i="12"/>
  <c r="T8" i="12" s="1"/>
  <c r="L8" i="12" s="1"/>
  <c r="Q9" i="4"/>
  <c r="Q10" i="4" s="1"/>
  <c r="Q8" i="4"/>
  <c r="N9" i="4"/>
  <c r="N10" i="4" s="1"/>
  <c r="O11" i="4"/>
  <c r="F7" i="4"/>
  <c r="M11" i="4" l="1"/>
  <c r="L11" i="4"/>
  <c r="K11" i="4"/>
  <c r="P11" i="4"/>
  <c r="H11" i="4"/>
  <c r="V13" i="15"/>
  <c r="T10" i="15"/>
  <c r="U10" i="15"/>
  <c r="Q10" i="15"/>
  <c r="E11" i="4"/>
  <c r="U8" i="15"/>
  <c r="M8" i="15" s="1"/>
  <c r="R10" i="15"/>
  <c r="AA9" i="15"/>
  <c r="B5" i="15" s="1"/>
  <c r="S10" i="15"/>
  <c r="Q8" i="15"/>
  <c r="V8" i="15"/>
  <c r="H8" i="15" s="1"/>
  <c r="S8" i="15"/>
  <c r="R8" i="15"/>
  <c r="U8" i="17"/>
  <c r="J11" i="4"/>
  <c r="R8" i="17"/>
  <c r="T10" i="16"/>
  <c r="Q8" i="17"/>
  <c r="Q8" i="14"/>
  <c r="I8" i="14" s="1"/>
  <c r="W8" i="14"/>
  <c r="O8" i="14" s="1"/>
  <c r="R8" i="14"/>
  <c r="J8" i="14" s="1"/>
  <c r="S8" i="14"/>
  <c r="K8" i="14" s="1"/>
  <c r="T8" i="14"/>
  <c r="L8" i="14" s="1"/>
  <c r="U8" i="14"/>
  <c r="M8" i="14" s="1"/>
  <c r="V8" i="14"/>
  <c r="N8" i="14" s="1"/>
  <c r="V13" i="17"/>
  <c r="Q11" i="4"/>
  <c r="Q8" i="12"/>
  <c r="I8" i="12" s="1"/>
  <c r="U8" i="16"/>
  <c r="M8" i="16" s="1"/>
  <c r="S8" i="17"/>
  <c r="R10" i="16"/>
  <c r="T9" i="12"/>
  <c r="T8" i="16"/>
  <c r="T8" i="17"/>
  <c r="AA9" i="16"/>
  <c r="B5" i="16" s="1"/>
  <c r="Q10" i="16"/>
  <c r="U13" i="16"/>
  <c r="H8" i="12"/>
  <c r="H9" i="12" s="1"/>
  <c r="R8" i="12"/>
  <c r="J8" i="12" s="1"/>
  <c r="S10" i="16"/>
  <c r="U8" i="12"/>
  <c r="M8" i="12" s="1"/>
  <c r="S8" i="16"/>
  <c r="N11" i="4"/>
  <c r="V8" i="12"/>
  <c r="N8" i="12" s="1"/>
  <c r="R8" i="16"/>
  <c r="J8" i="16" s="1"/>
  <c r="Q8" i="16"/>
  <c r="S8" i="12"/>
  <c r="K8" i="12" s="1"/>
  <c r="N8" i="17"/>
  <c r="N8" i="15" l="1"/>
  <c r="I8" i="16"/>
  <c r="Q13" i="15"/>
  <c r="I8" i="15" s="1"/>
  <c r="J8" i="15"/>
  <c r="S13" i="15"/>
  <c r="K8" i="15" s="1"/>
  <c r="R13" i="15"/>
  <c r="T13" i="15"/>
  <c r="L8" i="15" s="1"/>
  <c r="U13" i="15"/>
  <c r="S13" i="17"/>
  <c r="K8" i="17" s="1"/>
  <c r="U9" i="12"/>
  <c r="T13" i="17"/>
  <c r="L8" i="17" s="1"/>
  <c r="Q13" i="17"/>
  <c r="I8" i="17" s="1"/>
  <c r="S13" i="16"/>
  <c r="K8" i="16" s="1"/>
  <c r="U13" i="17"/>
  <c r="M8" i="17" s="1"/>
  <c r="R13" i="17"/>
  <c r="J8" i="17" s="1"/>
  <c r="V9" i="12"/>
  <c r="W8" i="12"/>
  <c r="R9" i="12"/>
  <c r="T13" i="16"/>
  <c r="L8" i="16" s="1"/>
  <c r="Q13" i="16"/>
  <c r="Q9" i="12"/>
  <c r="S9" i="12"/>
  <c r="R13" i="16"/>
  <c r="W13" i="15" l="1"/>
  <c r="W13" i="17"/>
  <c r="V13" i="16"/>
  <c r="W9" i="12"/>
  <c r="N9" i="12"/>
  <c r="J9" i="12"/>
  <c r="M9" i="12"/>
  <c r="I9" i="12"/>
  <c r="L9" i="12"/>
  <c r="K9" i="12"/>
  <c r="T9" i="15"/>
  <c r="U9" i="15"/>
  <c r="R9" i="15"/>
  <c r="S9" i="15"/>
  <c r="V9" i="15"/>
  <c r="Q9" i="15"/>
  <c r="W9" i="15" l="1"/>
  <c r="W8" i="15"/>
  <c r="U9" i="17" l="1"/>
  <c r="T9" i="17"/>
  <c r="R9" i="17"/>
  <c r="S9" i="17"/>
  <c r="V9" i="17"/>
  <c r="H8" i="17" s="1"/>
  <c r="W8" i="17" l="1"/>
  <c r="Q9" i="17"/>
  <c r="W9" i="17" l="1"/>
  <c r="L9" i="17" s="1"/>
  <c r="N9" i="17" l="1"/>
  <c r="J9" i="17"/>
  <c r="K9" i="17"/>
  <c r="M9" i="17"/>
  <c r="I9" i="17"/>
  <c r="H9" i="17" l="1"/>
  <c r="S9" i="16"/>
  <c r="T9" i="16"/>
  <c r="R9" i="16"/>
  <c r="U9" i="16"/>
  <c r="H8" i="16" s="1"/>
  <c r="V8" i="16" l="1"/>
  <c r="Q9" i="16"/>
  <c r="V9" i="16" l="1"/>
  <c r="Q9" i="14" l="1"/>
  <c r="X8" i="14"/>
  <c r="U9" i="14"/>
  <c r="W9" i="14"/>
  <c r="T9" i="14"/>
  <c r="S9" i="14"/>
  <c r="V9" i="14"/>
  <c r="R9" i="14"/>
  <c r="X9" i="14" l="1"/>
  <c r="K9" i="14" l="1"/>
  <c r="O9" i="14"/>
  <c r="J9" i="14"/>
  <c r="I9" i="14"/>
  <c r="L9" i="14"/>
  <c r="N9" i="14"/>
  <c r="M9" i="14"/>
  <c r="H9" i="14" l="1"/>
  <c r="W10" i="15"/>
  <c r="R11" i="15"/>
  <c r="T11" i="15"/>
  <c r="S11" i="15"/>
  <c r="U11" i="15"/>
  <c r="Q11" i="15"/>
  <c r="K9" i="15" l="1"/>
  <c r="W11" i="15"/>
  <c r="M9" i="15"/>
  <c r="I9" i="15"/>
  <c r="J9" i="15"/>
  <c r="L9" i="15"/>
  <c r="N9" i="15"/>
  <c r="H9" i="15" l="1"/>
  <c r="Q11" i="16"/>
  <c r="I9" i="16" s="1"/>
  <c r="S11" i="16"/>
  <c r="L9" i="16"/>
  <c r="T11" i="16"/>
  <c r="M9" i="16"/>
  <c r="R11" i="16"/>
  <c r="J9" i="16"/>
  <c r="V11" i="16" l="1"/>
  <c r="K9" i="16"/>
  <c r="H9" i="16" s="1"/>
  <c r="V10" i="16"/>
</calcChain>
</file>

<file path=xl/sharedStrings.xml><?xml version="1.0" encoding="utf-8"?>
<sst xmlns="http://schemas.openxmlformats.org/spreadsheetml/2006/main" count="283" uniqueCount="90">
  <si>
    <t>DATA</t>
  </si>
  <si>
    <t>FATURAMENTO</t>
  </si>
  <si>
    <t>FOLHA DE SALÁRIOS</t>
  </si>
  <si>
    <t>DATA INICIAL</t>
  </si>
  <si>
    <t>DATA REFERENCIA</t>
  </si>
  <si>
    <t>FAIXA</t>
  </si>
  <si>
    <t>DE</t>
  </si>
  <si>
    <t>ATE</t>
  </si>
  <si>
    <t>IRPJ</t>
  </si>
  <si>
    <t>CSLL</t>
  </si>
  <si>
    <t>COFINS</t>
  </si>
  <si>
    <t>PIS/PASEP</t>
  </si>
  <si>
    <t>ICMS</t>
  </si>
  <si>
    <t>ISS</t>
  </si>
  <si>
    <t>Anexo I - Comércio (Simples Nacional 2018)</t>
  </si>
  <si>
    <t>Anexo II - Indústria (Simples Nacional 2018)</t>
  </si>
  <si>
    <t>DATA ESCOLHIDA</t>
  </si>
  <si>
    <t>MESES</t>
  </si>
  <si>
    <t>FAT</t>
  </si>
  <si>
    <t>LIMITE MIN</t>
  </si>
  <si>
    <t>PROXIMO</t>
  </si>
  <si>
    <t>PROX FAIXA</t>
  </si>
  <si>
    <t>MÊS DE REFERÊNCIA</t>
  </si>
  <si>
    <t>LIMITE DA FAIXA</t>
  </si>
  <si>
    <t>FATURAMENTO DOS ÚLTIMOS 12 MESES</t>
  </si>
  <si>
    <t>SUBTOTAL ESCOLHIDO</t>
  </si>
  <si>
    <t xml:space="preserve"> </t>
  </si>
  <si>
    <t>TOTAL</t>
  </si>
  <si>
    <t>FATOR R (%)</t>
  </si>
  <si>
    <t>% DENTRO DA FAIXA</t>
  </si>
  <si>
    <t>FATOR R</t>
  </si>
  <si>
    <t>ANEXO</t>
  </si>
  <si>
    <t>VALOR A DEDUZIR (R$)</t>
  </si>
  <si>
    <t>ATÉ</t>
  </si>
  <si>
    <t>FATURAMENTO MENSAL TOTAL</t>
  </si>
  <si>
    <t>TABELA DE VALORES MENSAIS</t>
  </si>
  <si>
    <t>ANEXO RECOMENDADO</t>
  </si>
  <si>
    <t>TOTAL FAT : % FAT</t>
  </si>
  <si>
    <t>IPI</t>
  </si>
  <si>
    <t>LIMITE ISS</t>
  </si>
  <si>
    <t>5*</t>
  </si>
  <si>
    <t>5,00%*</t>
  </si>
  <si>
    <t>DESCRIÇÃO</t>
  </si>
  <si>
    <t>AVISO</t>
  </si>
  <si>
    <t>Fator R (Simples Nacional 2018)</t>
  </si>
  <si>
    <t>Anexo III - Serviços (Simples Nacional 2018)</t>
  </si>
  <si>
    <t>Anexo IV - Serviços (Simples Nacional 2018)</t>
  </si>
  <si>
    <t>Anexo V - Serviços (Simples Nacional 2018)</t>
  </si>
  <si>
    <t>ANOS</t>
  </si>
  <si>
    <t>MÊS INICIAL ESCOLHIDO</t>
  </si>
  <si>
    <t>ANO INICIAL ESCOLHIDO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</si>
  <si>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</si>
  <si>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</si>
  <si>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</si>
  <si>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</si>
  <si>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</si>
  <si>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</si>
  <si>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</si>
  <si>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</si>
  <si>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</si>
  <si>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</si>
  <si>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</si>
  <si>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</si>
  <si>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NÃO SE ESQUEÇA DE PREENCHER A FOLHA DE PAGAMENTO NO FATOR R.</t>
  </si>
  <si>
    <t>FATURAMENTO NO MÊS DE REFERÊNCIA</t>
  </si>
  <si>
    <t>RETENÇÃO ISS</t>
  </si>
  <si>
    <t>ISENÇÃO ICMS</t>
  </si>
  <si>
    <t>SIMNÃO</t>
  </si>
  <si>
    <t>SIM</t>
  </si>
  <si>
    <t>NÃO</t>
  </si>
  <si>
    <t>CONFIGURAÇÃO INICIAL</t>
  </si>
  <si>
    <t>TABELAS AUXILIARES. NÃO ESQUEÇA DE OCULTÁ-LAS.</t>
  </si>
  <si>
    <t>PREENCHA O FATURAMENTO MENSAL REFERENTE APENAS AO ANEXO V</t>
  </si>
  <si>
    <t>PREENCHA O FATURAMENTO MENSAL REFERENTE APENAS AO ANEXO IV</t>
  </si>
  <si>
    <t>PREENCHA O FATURAMENTO MENSAL REFERENTE APENAS AO ANEXO III</t>
  </si>
  <si>
    <t>PREENCHA O FATURAMENTO MENSAL REFERENTE APENAS AO ANEXO I</t>
  </si>
  <si>
    <t>PREENCHA O FATURAMENTO MENSAL REFERENTE APENAS AO ANEXO II</t>
  </si>
  <si>
    <t>RETENÇÃO DE ISS NA FONTE.</t>
  </si>
  <si>
    <t>ALÍQUOTA NOMINAL</t>
  </si>
  <si>
    <t>ALÍQUOTA EFETIVA</t>
  </si>
  <si>
    <t>LIMITE 3600K</t>
  </si>
  <si>
    <t>RBT12 AUX</t>
  </si>
  <si>
    <t>SUBLIMITE DE r$3.600.000,00 NO ANO-CALENDÁRIO ULTRAPASSADO. VERIFIQUE COM O SEU CONTADOR.</t>
  </si>
  <si>
    <t>SUBLIMITE DE R$3.600.000,00 NO ANO-CALENDÁRIO ULTRAPASSADO. VERIFIQUE COM O SEU CONTADOR.</t>
  </si>
  <si>
    <t>CONSIDERADO ISS DE 2%. NÃO ESQUEÇA DE RECOLHER A DIFERENÇA NO MÊS SEGUINTE EM GUIA PRÓPRIA DO MUNICÍPIO (LC Nº123 § 4º INCISOS 2 E 3). CONSULTE SEU CONTADOR.</t>
  </si>
  <si>
    <t>FATURAMENTO ÚLTIMOS 12 MESES / MÉDIA INÍCIO ATIVIDADE</t>
  </si>
  <si>
    <t xml:space="preserve">FATURAMENTO ÚLTIMOS 12 MESES / MÉDIA INÍCIO ATIVIDADE	</t>
  </si>
  <si>
    <t>ISENÇÃO DO ICMS QUANDO O ESTADO TIVER INCENTIVO [E FATURAMENTO TOTAL DOS ÚLTIMOS 12 MESES FOR ATÉ R$360.000,00].</t>
  </si>
  <si>
    <t>O ISS EFETIVO FOI FIXADO EM 5% (CONSIDERADA MAIOR ALÍQUOTA PREVISTA NA LEI COMPLEMENTAR Nº 116/2003).</t>
  </si>
  <si>
    <t>INSS/CPP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</si>
</sst>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R$&quot;\ * #,##0.00_);_(&quot;R$&quot;\ * \(#,##0.00\);_(&quot;R$&quot;\ * &quot;-&quot;??_);_(@_)"/>
    <numFmt numFmtId="165" formatCode="_(* #,##0.00_);_(* \(#,##0.00\);_(* &quot;-&quot;??_);_(@_)"/>
    <numFmt numFmtId="166" formatCode="[$-416]mmm/yy;@"/>
    <numFmt numFmtId="167" formatCode="0.0000%"/>
    <numFmt numFmtId="168" formatCode="0.000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6"/>
      <color rgb="FF3C88A6"/>
      <name val="Verdana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43525B"/>
      <name val="Calibri"/>
      <family val="2"/>
      <scheme val="minor"/>
    </font>
    <font>
      <sz val="14"/>
      <color rgb="FF43525B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rgb="FF3C88A6"/>
      <name val="Abadi Extra Light"/>
      <family val="2"/>
    </font>
    <font>
      <sz val="12"/>
      <color theme="1"/>
      <name val="Calibri"/>
      <family val="2"/>
      <scheme val="minor"/>
    </font>
    <font>
      <b/>
      <sz val="18"/>
      <color rgb="FF43525B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color rgb="FF3C88A6"/>
      <name val="Verdana"/>
      <family val="2"/>
    </font>
    <font>
      <sz val="10"/>
      <color rgb="FF000000"/>
      <name val="Calibri"/>
      <family val="2"/>
    </font>
    <font>
      <i/>
      <sz val="12"/>
      <color rgb="FF3C88A6"/>
      <name val="Verdana"/>
      <family val="2"/>
    </font>
    <font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2"/>
      <name val="Verdana"/>
      <family val="2"/>
    </font>
    <font>
      <i/>
      <sz val="12"/>
      <name val="Verdana"/>
      <family val="2"/>
    </font>
    <font>
      <b/>
      <sz val="24"/>
      <color rgb="FF3C88A6"/>
      <name val="Calibri"/>
      <family val="2"/>
      <scheme val="minor"/>
    </font>
    <font>
      <sz val="2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C88A6"/>
        <bgColor rgb="FF1E88A6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43525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C88A6"/>
        <bgColor indexed="64"/>
      </patternFill>
    </fill>
    <fill>
      <patternFill patternType="solid">
        <fgColor rgb="FF1E88A6"/>
        <bgColor indexed="64"/>
      </patternFill>
    </fill>
    <fill>
      <patternFill patternType="solid">
        <fgColor rgb="FF62A9C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ck">
        <color rgb="FF3C88A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ouble">
        <color rgb="FF3C88A6"/>
      </left>
      <right/>
      <top style="double">
        <color rgb="FF3C88A6"/>
      </top>
      <bottom/>
      <diagonal/>
    </border>
    <border>
      <left/>
      <right/>
      <top style="double">
        <color rgb="FF3C88A6"/>
      </top>
      <bottom/>
      <diagonal/>
    </border>
    <border>
      <left/>
      <right style="double">
        <color rgb="FF3C88A6"/>
      </right>
      <top style="double">
        <color rgb="FF3C88A6"/>
      </top>
      <bottom/>
      <diagonal/>
    </border>
    <border>
      <left style="double">
        <color rgb="FF3C88A6"/>
      </left>
      <right/>
      <top/>
      <bottom/>
      <diagonal/>
    </border>
    <border>
      <left/>
      <right style="double">
        <color rgb="FF3C88A6"/>
      </right>
      <top/>
      <bottom/>
      <diagonal/>
    </border>
    <border>
      <left style="double">
        <color rgb="FF3C88A6"/>
      </left>
      <right/>
      <top/>
      <bottom style="double">
        <color rgb="FF3C88A6"/>
      </bottom>
      <diagonal/>
    </border>
    <border>
      <left/>
      <right/>
      <top/>
      <bottom style="double">
        <color rgb="FF3C88A6"/>
      </bottom>
      <diagonal/>
    </border>
    <border>
      <left/>
      <right style="double">
        <color rgb="FF3C88A6"/>
      </right>
      <top/>
      <bottom style="double">
        <color rgb="FF3C88A6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 style="hair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hair">
        <color theme="1"/>
      </top>
      <bottom/>
      <diagonal/>
    </border>
    <border>
      <left style="thin">
        <color auto="1"/>
      </left>
      <right/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/>
      <top style="hair">
        <color theme="1"/>
      </top>
      <bottom style="medium">
        <color theme="1"/>
      </bottom>
      <diagonal/>
    </border>
    <border>
      <left style="thin">
        <color auto="1"/>
      </left>
      <right/>
      <top style="hair">
        <color theme="1"/>
      </top>
      <bottom style="medium">
        <color theme="1"/>
      </bottom>
      <diagonal/>
    </border>
    <border>
      <left style="hair">
        <color theme="1"/>
      </left>
      <right/>
      <top style="medium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 style="medium">
        <color theme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3" borderId="2" xfId="0" applyNumberFormat="1" applyFont="1" applyFill="1" applyBorder="1"/>
    <xf numFmtId="166" fontId="2" fillId="2" borderId="1" xfId="0" applyNumberFormat="1" applyFont="1" applyFill="1" applyBorder="1"/>
    <xf numFmtId="4" fontId="0" fillId="3" borderId="2" xfId="0" applyNumberFormat="1" applyFont="1" applyFill="1" applyBorder="1" applyAlignment="1">
      <alignment horizontal="right"/>
    </xf>
    <xf numFmtId="4" fontId="0" fillId="3" borderId="3" xfId="0" applyNumberFormat="1" applyFont="1" applyFill="1" applyBorder="1" applyAlignment="1">
      <alignment horizontal="right"/>
    </xf>
    <xf numFmtId="4" fontId="0" fillId="3" borderId="3" xfId="1" applyNumberFormat="1" applyFont="1" applyFill="1" applyBorder="1" applyAlignment="1">
      <alignment horizontal="right"/>
    </xf>
    <xf numFmtId="4" fontId="0" fillId="3" borderId="4" xfId="0" applyNumberFormat="1" applyFont="1" applyFill="1" applyBorder="1" applyAlignment="1">
      <alignment horizontal="right"/>
    </xf>
    <xf numFmtId="0" fontId="4" fillId="0" borderId="0" xfId="0" applyFont="1"/>
    <xf numFmtId="4" fontId="4" fillId="0" borderId="0" xfId="0" applyNumberFormat="1" applyFont="1"/>
    <xf numFmtId="0" fontId="4" fillId="3" borderId="2" xfId="0" applyFont="1" applyFill="1" applyBorder="1"/>
    <xf numFmtId="0" fontId="4" fillId="0" borderId="5" xfId="0" applyFont="1" applyBorder="1"/>
    <xf numFmtId="3" fontId="4" fillId="3" borderId="3" xfId="0" applyNumberFormat="1" applyFont="1" applyFill="1" applyBorder="1"/>
    <xf numFmtId="10" fontId="4" fillId="3" borderId="3" xfId="2" applyNumberFormat="1" applyFont="1" applyFill="1" applyBorder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 applyAlignment="1">
      <alignment horizontal="center"/>
    </xf>
    <xf numFmtId="0" fontId="0" fillId="7" borderId="0" xfId="0" applyFill="1"/>
    <xf numFmtId="9" fontId="0" fillId="0" borderId="0" xfId="0" applyNumberFormat="1" applyAlignment="1">
      <alignment horizontal="center" vertical="center"/>
    </xf>
    <xf numFmtId="10" fontId="4" fillId="0" borderId="5" xfId="2" applyNumberFormat="1" applyFont="1" applyBorder="1"/>
    <xf numFmtId="0" fontId="9" fillId="0" borderId="24" xfId="0" applyFont="1" applyBorder="1"/>
    <xf numFmtId="0" fontId="0" fillId="0" borderId="24" xfId="0" applyBorder="1"/>
    <xf numFmtId="0" fontId="3" fillId="0" borderId="24" xfId="0" applyFont="1" applyBorder="1" applyAlignment="1">
      <alignment vertical="center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0" fillId="5" borderId="7" xfId="0" applyFill="1" applyBorder="1" applyAlignment="1" applyProtection="1">
      <protection hidden="1"/>
    </xf>
    <xf numFmtId="0" fontId="0" fillId="5" borderId="8" xfId="0" applyFill="1" applyBorder="1" applyAlignme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5" fillId="0" borderId="24" xfId="0" applyFont="1" applyBorder="1" applyAlignment="1">
      <alignment vertical="center"/>
    </xf>
    <xf numFmtId="0" fontId="15" fillId="0" borderId="24" xfId="0" applyFont="1" applyBorder="1" applyAlignment="1" applyProtection="1">
      <alignment vertical="center"/>
      <protection hidden="1"/>
    </xf>
    <xf numFmtId="0" fontId="3" fillId="0" borderId="24" xfId="0" applyFont="1" applyBorder="1" applyAlignment="1" applyProtection="1">
      <alignment vertical="center"/>
      <protection hidden="1"/>
    </xf>
    <xf numFmtId="0" fontId="0" fillId="0" borderId="24" xfId="0" applyBorder="1" applyProtection="1">
      <protection hidden="1"/>
    </xf>
    <xf numFmtId="0" fontId="9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2" borderId="22" xfId="0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5" borderId="22" xfId="0" applyFill="1" applyBorder="1" applyProtection="1">
      <protection hidden="1"/>
    </xf>
    <xf numFmtId="3" fontId="13" fillId="5" borderId="25" xfId="0" applyNumberFormat="1" applyFont="1" applyFill="1" applyBorder="1" applyAlignment="1" applyProtection="1">
      <alignment horizontal="center" vertical="center"/>
      <protection hidden="1"/>
    </xf>
    <xf numFmtId="4" fontId="13" fillId="5" borderId="16" xfId="0" applyNumberFormat="1" applyFont="1" applyFill="1" applyBorder="1" applyAlignment="1" applyProtection="1">
      <alignment horizontal="center" vertical="center"/>
      <protection hidden="1"/>
    </xf>
    <xf numFmtId="10" fontId="5" fillId="5" borderId="0" xfId="2" applyNumberFormat="1" applyFont="1" applyFill="1" applyAlignment="1" applyProtection="1">
      <alignment horizontal="right" vertical="center"/>
      <protection hidden="1"/>
    </xf>
    <xf numFmtId="167" fontId="0" fillId="0" borderId="0" xfId="2" applyNumberFormat="1" applyFont="1" applyProtection="1">
      <protection hidden="1"/>
    </xf>
    <xf numFmtId="0" fontId="0" fillId="5" borderId="18" xfId="0" applyFill="1" applyBorder="1" applyProtection="1"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3" fontId="5" fillId="0" borderId="23" xfId="0" applyNumberFormat="1" applyFont="1" applyFill="1" applyBorder="1" applyAlignment="1" applyProtection="1">
      <alignment horizontal="center" vertical="center"/>
      <protection hidden="1"/>
    </xf>
    <xf numFmtId="4" fontId="5" fillId="5" borderId="0" xfId="2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" fontId="4" fillId="0" borderId="0" xfId="0" applyNumberFormat="1" applyFont="1" applyProtection="1">
      <protection hidden="1"/>
    </xf>
    <xf numFmtId="4" fontId="4" fillId="0" borderId="0" xfId="1" applyNumberFormat="1" applyFont="1" applyProtection="1">
      <protection hidden="1"/>
    </xf>
    <xf numFmtId="10" fontId="4" fillId="0" borderId="0" xfId="0" applyNumberFormat="1" applyFont="1" applyProtection="1">
      <protection hidden="1"/>
    </xf>
    <xf numFmtId="9" fontId="4" fillId="0" borderId="0" xfId="2" applyFont="1" applyProtection="1">
      <protection hidden="1"/>
    </xf>
    <xf numFmtId="0" fontId="0" fillId="0" borderId="9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0" xfId="0" applyBorder="1" applyProtection="1"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Protection="1">
      <protection hidden="1"/>
    </xf>
    <xf numFmtId="14" fontId="0" fillId="0" borderId="0" xfId="0" applyNumberFormat="1" applyProtection="1">
      <protection hidden="1"/>
    </xf>
    <xf numFmtId="10" fontId="16" fillId="0" borderId="0" xfId="2" applyNumberFormat="1" applyFont="1" applyProtection="1">
      <protection hidden="1"/>
    </xf>
    <xf numFmtId="4" fontId="4" fillId="0" borderId="0" xfId="1" applyNumberFormat="1" applyFont="1" applyAlignment="1" applyProtection="1">
      <alignment horizontal="center"/>
      <protection hidden="1"/>
    </xf>
    <xf numFmtId="168" fontId="0" fillId="0" borderId="0" xfId="0" applyNumberFormat="1" applyProtection="1">
      <protection hidden="1"/>
    </xf>
    <xf numFmtId="10" fontId="4" fillId="0" borderId="0" xfId="0" applyNumberFormat="1" applyFont="1" applyAlignment="1" applyProtection="1">
      <alignment horizontal="right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7" borderId="0" xfId="0" applyFill="1" applyAlignment="1">
      <alignment vertical="center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0" fillId="0" borderId="0" xfId="0" applyNumberFormat="1" applyProtection="1">
      <protection hidden="1"/>
    </xf>
    <xf numFmtId="9" fontId="0" fillId="0" borderId="0" xfId="2" applyNumberFormat="1" applyFont="1" applyProtection="1">
      <protection hidden="1"/>
    </xf>
    <xf numFmtId="0" fontId="0" fillId="0" borderId="0" xfId="2" applyNumberFormat="1" applyFont="1" applyProtection="1">
      <protection hidden="1"/>
    </xf>
    <xf numFmtId="10" fontId="18" fillId="6" borderId="22" xfId="2" applyNumberFormat="1" applyFont="1" applyFill="1" applyBorder="1" applyAlignment="1" applyProtection="1">
      <alignment horizontal="right" vertical="center"/>
      <protection hidden="1"/>
    </xf>
    <xf numFmtId="4" fontId="18" fillId="6" borderId="18" xfId="2" applyNumberFormat="1" applyFont="1" applyFill="1" applyBorder="1" applyAlignment="1" applyProtection="1">
      <alignment horizontal="right" vertical="center"/>
      <protection hidden="1"/>
    </xf>
    <xf numFmtId="10" fontId="19" fillId="6" borderId="22" xfId="2" applyNumberFormat="1" applyFont="1" applyFill="1" applyBorder="1" applyAlignment="1" applyProtection="1">
      <alignment horizontal="right" vertical="center"/>
      <protection hidden="1"/>
    </xf>
    <xf numFmtId="4" fontId="19" fillId="6" borderId="18" xfId="2" applyNumberFormat="1" applyFont="1" applyFill="1" applyBorder="1" applyAlignment="1" applyProtection="1">
      <alignment horizontal="right" vertical="center"/>
      <protection hidden="1"/>
    </xf>
    <xf numFmtId="0" fontId="0" fillId="0" borderId="5" xfId="0" applyFont="1" applyBorder="1"/>
    <xf numFmtId="10" fontId="1" fillId="5" borderId="22" xfId="2" applyNumberFormat="1" applyFont="1" applyFill="1" applyBorder="1" applyAlignment="1">
      <alignment horizontal="right" vertical="center"/>
    </xf>
    <xf numFmtId="0" fontId="0" fillId="6" borderId="22" xfId="0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right"/>
    </xf>
    <xf numFmtId="0" fontId="0" fillId="0" borderId="0" xfId="0" applyFont="1" applyBorder="1" applyProtection="1">
      <protection hidden="1"/>
    </xf>
    <xf numFmtId="0" fontId="23" fillId="10" borderId="0" xfId="0" applyFont="1" applyFill="1" applyBorder="1" applyProtection="1">
      <protection hidden="1"/>
    </xf>
    <xf numFmtId="0" fontId="0" fillId="0" borderId="31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34" xfId="0" applyBorder="1" applyProtection="1">
      <protection hidden="1"/>
    </xf>
    <xf numFmtId="0" fontId="0" fillId="0" borderId="35" xfId="0" applyBorder="1" applyProtection="1">
      <protection hidden="1"/>
    </xf>
    <xf numFmtId="167" fontId="0" fillId="3" borderId="4" xfId="2" applyNumberFormat="1" applyFont="1" applyFill="1" applyBorder="1" applyProtection="1">
      <protection hidden="1"/>
    </xf>
    <xf numFmtId="167" fontId="0" fillId="0" borderId="0" xfId="2" applyNumberFormat="1" applyFont="1" applyBorder="1" applyProtection="1">
      <protection hidden="1"/>
    </xf>
    <xf numFmtId="4" fontId="10" fillId="0" borderId="45" xfId="0" applyNumberFormat="1" applyFont="1" applyBorder="1" applyProtection="1">
      <protection locked="0" hidden="1"/>
    </xf>
    <xf numFmtId="4" fontId="10" fillId="0" borderId="46" xfId="0" applyNumberFormat="1" applyFont="1" applyBorder="1" applyProtection="1">
      <protection locked="0" hidden="1"/>
    </xf>
    <xf numFmtId="4" fontId="10" fillId="0" borderId="47" xfId="0" applyNumberFormat="1" applyFont="1" applyBorder="1" applyProtection="1">
      <protection locked="0" hidden="1"/>
    </xf>
    <xf numFmtId="0" fontId="8" fillId="2" borderId="37" xfId="0" applyFont="1" applyFill="1" applyBorder="1" applyAlignment="1" applyProtection="1">
      <alignment horizontal="center" vertical="center" wrapText="1"/>
      <protection hidden="1"/>
    </xf>
    <xf numFmtId="0" fontId="8" fillId="2" borderId="38" xfId="0" applyFont="1" applyFill="1" applyBorder="1" applyAlignment="1" applyProtection="1">
      <alignment horizontal="center" vertical="center" wrapText="1"/>
      <protection hidden="1"/>
    </xf>
    <xf numFmtId="0" fontId="8" fillId="2" borderId="45" xfId="0" applyFont="1" applyFill="1" applyBorder="1" applyAlignment="1" applyProtection="1">
      <alignment horizontal="center" vertical="center" wrapText="1"/>
      <protection hidden="1"/>
    </xf>
    <xf numFmtId="0" fontId="8" fillId="2" borderId="39" xfId="0" applyFont="1" applyFill="1" applyBorder="1" applyAlignment="1" applyProtection="1">
      <alignment horizontal="center" vertical="center" wrapText="1"/>
      <protection hidden="1"/>
    </xf>
    <xf numFmtId="166" fontId="8" fillId="2" borderId="37" xfId="0" applyNumberFormat="1" applyFont="1" applyFill="1" applyBorder="1" applyAlignment="1" applyProtection="1">
      <alignment horizontal="center"/>
      <protection hidden="1"/>
    </xf>
    <xf numFmtId="164" fontId="12" fillId="6" borderId="38" xfId="1" applyNumberFormat="1" applyFont="1" applyFill="1" applyBorder="1" applyProtection="1">
      <protection hidden="1"/>
    </xf>
    <xf numFmtId="10" fontId="12" fillId="8" borderId="45" xfId="2" applyNumberFormat="1" applyFont="1" applyFill="1" applyBorder="1" applyAlignment="1" applyProtection="1">
      <alignment horizontal="center"/>
      <protection hidden="1"/>
    </xf>
    <xf numFmtId="0" fontId="12" fillId="8" borderId="39" xfId="0" applyFont="1" applyFill="1" applyBorder="1" applyProtection="1">
      <protection hidden="1"/>
    </xf>
    <xf numFmtId="166" fontId="8" fillId="2" borderId="40" xfId="0" applyNumberFormat="1" applyFont="1" applyFill="1" applyBorder="1" applyAlignment="1" applyProtection="1">
      <alignment horizontal="center"/>
      <protection hidden="1"/>
    </xf>
    <xf numFmtId="164" fontId="12" fillId="6" borderId="41" xfId="1" applyNumberFormat="1" applyFont="1" applyFill="1" applyBorder="1" applyProtection="1">
      <protection hidden="1"/>
    </xf>
    <xf numFmtId="10" fontId="12" fillId="8" borderId="46" xfId="2" applyNumberFormat="1" applyFont="1" applyFill="1" applyBorder="1" applyAlignment="1" applyProtection="1">
      <alignment horizontal="center"/>
      <protection hidden="1"/>
    </xf>
    <xf numFmtId="0" fontId="12" fillId="8" borderId="42" xfId="0" applyFont="1" applyFill="1" applyBorder="1" applyProtection="1">
      <protection hidden="1"/>
    </xf>
    <xf numFmtId="166" fontId="8" fillId="2" borderId="43" xfId="0" applyNumberFormat="1" applyFont="1" applyFill="1" applyBorder="1" applyAlignment="1" applyProtection="1">
      <alignment horizontal="center"/>
      <protection hidden="1"/>
    </xf>
    <xf numFmtId="164" fontId="12" fillId="6" borderId="44" xfId="1" applyNumberFormat="1" applyFont="1" applyFill="1" applyBorder="1" applyProtection="1">
      <protection hidden="1"/>
    </xf>
    <xf numFmtId="10" fontId="12" fillId="8" borderId="47" xfId="2" applyNumberFormat="1" applyFont="1" applyFill="1" applyBorder="1" applyAlignment="1" applyProtection="1">
      <alignment horizontal="center"/>
      <protection hidden="1"/>
    </xf>
    <xf numFmtId="0" fontId="12" fillId="8" borderId="36" xfId="0" applyFont="1" applyFill="1" applyBorder="1" applyProtection="1"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166" fontId="2" fillId="2" borderId="37" xfId="0" applyNumberFormat="1" applyFont="1" applyFill="1" applyBorder="1" applyAlignment="1" applyProtection="1">
      <alignment horizontal="center"/>
      <protection hidden="1"/>
    </xf>
    <xf numFmtId="4" fontId="14" fillId="6" borderId="39" xfId="0" applyNumberFormat="1" applyFont="1" applyFill="1" applyBorder="1" applyAlignment="1" applyProtection="1">
      <alignment horizontal="right"/>
      <protection hidden="1"/>
    </xf>
    <xf numFmtId="166" fontId="2" fillId="2" borderId="40" xfId="0" applyNumberFormat="1" applyFont="1" applyFill="1" applyBorder="1" applyAlignment="1" applyProtection="1">
      <alignment horizontal="center"/>
      <protection hidden="1"/>
    </xf>
    <xf numFmtId="4" fontId="14" fillId="6" borderId="42" xfId="0" applyNumberFormat="1" applyFont="1" applyFill="1" applyBorder="1" applyAlignment="1" applyProtection="1">
      <alignment horizontal="right"/>
      <protection hidden="1"/>
    </xf>
    <xf numFmtId="166" fontId="2" fillId="2" borderId="43" xfId="0" applyNumberFormat="1" applyFont="1" applyFill="1" applyBorder="1" applyAlignment="1" applyProtection="1">
      <alignment horizontal="center"/>
      <protection hidden="1"/>
    </xf>
    <xf numFmtId="4" fontId="14" fillId="6" borderId="36" xfId="0" applyNumberFormat="1" applyFont="1" applyFill="1" applyBorder="1" applyAlignment="1" applyProtection="1">
      <alignment horizontal="right"/>
      <protection hidden="1"/>
    </xf>
    <xf numFmtId="4" fontId="0" fillId="0" borderId="38" xfId="0" applyNumberFormat="1" applyFont="1" applyBorder="1" applyProtection="1">
      <protection locked="0" hidden="1"/>
    </xf>
    <xf numFmtId="4" fontId="0" fillId="0" borderId="41" xfId="0" applyNumberFormat="1" applyFont="1" applyBorder="1" applyProtection="1">
      <protection locked="0" hidden="1"/>
    </xf>
    <xf numFmtId="4" fontId="0" fillId="0" borderId="44" xfId="0" applyNumberFormat="1" applyFont="1" applyBorder="1" applyProtection="1">
      <protection locked="0"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2" fillId="0" borderId="28" xfId="0" applyFont="1" applyBorder="1" applyAlignment="1" applyProtection="1">
      <alignment horizontal="center"/>
      <protection hidden="1"/>
    </xf>
    <xf numFmtId="0" fontId="22" fillId="0" borderId="29" xfId="0" applyFont="1" applyBorder="1" applyAlignment="1" applyProtection="1">
      <alignment horizontal="center"/>
      <protection hidden="1"/>
    </xf>
    <xf numFmtId="0" fontId="22" fillId="0" borderId="30" xfId="0" applyFont="1" applyBorder="1" applyAlignment="1" applyProtection="1">
      <alignment horizontal="center"/>
      <protection hidden="1"/>
    </xf>
    <xf numFmtId="4" fontId="6" fillId="5" borderId="13" xfId="0" applyNumberFormat="1" applyFont="1" applyFill="1" applyBorder="1" applyAlignment="1" applyProtection="1">
      <alignment horizontal="center" vertical="center"/>
      <protection hidden="1"/>
    </xf>
    <xf numFmtId="0" fontId="6" fillId="5" borderId="12" xfId="0" applyFont="1" applyFill="1" applyBorder="1" applyAlignment="1" applyProtection="1">
      <alignment horizontal="center" vertical="center"/>
      <protection hidden="1"/>
    </xf>
    <xf numFmtId="10" fontId="7" fillId="5" borderId="13" xfId="2" applyNumberFormat="1" applyFont="1" applyFill="1" applyBorder="1" applyAlignment="1" applyProtection="1">
      <alignment horizontal="center" vertical="center"/>
      <protection hidden="1"/>
    </xf>
    <xf numFmtId="10" fontId="7" fillId="5" borderId="12" xfId="2" applyNumberFormat="1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8" fillId="9" borderId="0" xfId="0" applyFont="1" applyFill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17" xfId="0" applyFont="1" applyFill="1" applyBorder="1" applyAlignment="1" applyProtection="1">
      <alignment horizontal="center" vertical="center" wrapText="1"/>
      <protection hidden="1"/>
    </xf>
    <xf numFmtId="4" fontId="11" fillId="5" borderId="20" xfId="0" applyNumberFormat="1" applyFont="1" applyFill="1" applyBorder="1" applyAlignment="1" applyProtection="1">
      <alignment horizontal="center" vertical="center"/>
      <protection hidden="1"/>
    </xf>
    <xf numFmtId="4" fontId="11" fillId="5" borderId="14" xfId="0" applyNumberFormat="1" applyFont="1" applyFill="1" applyBorder="1" applyAlignment="1" applyProtection="1">
      <alignment horizontal="center" vertical="center"/>
      <protection hidden="1"/>
    </xf>
    <xf numFmtId="4" fontId="11" fillId="5" borderId="21" xfId="0" applyNumberFormat="1" applyFont="1" applyFill="1" applyBorder="1" applyAlignment="1" applyProtection="1">
      <alignment horizontal="center" vertical="center"/>
      <protection hidden="1"/>
    </xf>
    <xf numFmtId="4" fontId="11" fillId="5" borderId="15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Porcentagem" xfId="2" builtinId="5"/>
    <cellStyle name="Vírgula" xfId="1" builtinId="3"/>
  </cellStyles>
  <dxfs count="319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numFmt numFmtId="13" formatCode="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</font>
      <fill>
        <patternFill>
          <bgColor theme="4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border outline="0">
        <bottom style="hair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protection locked="1" hidden="1"/>
    </dxf>
    <dxf>
      <protection locked="1" hidden="1"/>
    </dxf>
    <dxf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protection locked="1" hidden="1"/>
    </dxf>
    <dxf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numFmt numFmtId="14" formatCode="0.00%"/>
      <alignment horizontal="right" vertical="center" textRotation="0" wrapText="0" indent="0" justifyLastLine="0" shrinkToFit="0" readingOrder="0"/>
      <protection locked="1" hidden="1"/>
    </dxf>
    <dxf>
      <numFmt numFmtId="167" formatCode="0.0000%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strike val="0"/>
        <outline val="0"/>
        <shadow val="0"/>
        <u val="none"/>
        <vertAlign val="baseline"/>
        <sz val="14"/>
        <color indexed="9"/>
        <name val="Calibri"/>
        <family val="2"/>
        <scheme val="minor"/>
      </font>
      <numFmt numFmtId="14" formatCode="0.00%"/>
      <fill>
        <patternFill patternType="solid">
          <fgColor indexed="64"/>
          <bgColor rgb="FF3C88A6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1"/>
    </dxf>
    <dxf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medium">
          <color indexed="64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solid">
          <fgColor rgb="FF000000"/>
          <bgColor rgb="FFF2F2F2"/>
        </patternFill>
      </fill>
      <alignment horizontal="right" vertical="center" textRotation="0" wrapText="0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b/>
        <i val="0"/>
      </font>
      <fill>
        <patternFill>
          <bgColor theme="4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ont>
        <b/>
        <i val="0"/>
      </font>
      <border>
        <left style="thin">
          <color rgb="FFFF0000"/>
        </left>
        <right style="thin">
          <color rgb="FFFF0000"/>
        </right>
        <vertical/>
        <horizontal/>
      </border>
    </dxf>
    <dxf>
      <font>
        <b/>
        <i val="0"/>
      </font>
      <border>
        <left style="thin">
          <color rgb="FFFF0000"/>
        </left>
        <right style="thin">
          <color rgb="FFFF0000"/>
        </right>
        <top style="thin">
          <color rgb="FFFF0000"/>
        </top>
        <vertical/>
        <horizontal/>
      </border>
    </dxf>
    <dxf>
      <fill>
        <patternFill>
          <bgColor rgb="FF43525B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auto="1"/>
      </font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border outline="0">
        <bottom style="hair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protection locked="1" hidden="1"/>
    </dxf>
    <dxf>
      <protection locked="1" hidden="1"/>
    </dxf>
    <dxf>
      <numFmt numFmtId="0" formatCode="General"/>
      <protection locked="1" hidden="1"/>
    </dxf>
    <dxf>
      <protection locked="1" hidden="1"/>
    </dxf>
    <dxf>
      <protection locked="1" hidden="1"/>
    </dxf>
    <dxf>
      <numFmt numFmtId="168" formatCode="0.000000%"/>
      <protection locked="1" hidden="1"/>
    </dxf>
    <dxf>
      <numFmt numFmtId="168" formatCode="0.000000%"/>
      <protection locked="1" hidden="1"/>
    </dxf>
    <dxf>
      <numFmt numFmtId="168" formatCode="0.00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numFmt numFmtId="14" formatCode="0.00%"/>
      <alignment horizontal="right" vertical="center" textRotation="0" wrapText="0" indent="0" justifyLastLine="0" shrinkToFit="0" readingOrder="0"/>
      <protection locked="1" hidden="1"/>
    </dxf>
    <dxf>
      <numFmt numFmtId="167" formatCode="0.0000%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strike val="0"/>
        <outline val="0"/>
        <shadow val="0"/>
        <u val="none"/>
        <vertAlign val="baseline"/>
        <sz val="14"/>
        <color indexed="9"/>
        <name val="Calibri"/>
        <family val="2"/>
        <scheme val="minor"/>
      </font>
      <numFmt numFmtId="14" formatCode="0.00%"/>
      <fill>
        <patternFill patternType="solid">
          <fgColor indexed="64"/>
          <bgColor rgb="FF3C88A6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1"/>
    </dxf>
    <dxf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medium">
          <color indexed="64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solid">
          <fgColor rgb="FF000000"/>
          <bgColor rgb="FFF2F2F2"/>
        </patternFill>
      </fill>
      <alignment horizontal="right" vertical="center" textRotation="0" wrapText="0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b/>
        <i val="0"/>
      </font>
      <fill>
        <patternFill>
          <bgColor theme="4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strike/>
      </font>
      <fill>
        <patternFill patternType="none">
          <bgColor auto="1"/>
        </patternFill>
      </fill>
      <border>
        <left style="thin">
          <color rgb="FF3C88A6"/>
        </left>
        <right style="thin">
          <color rgb="FF3C88A6"/>
        </right>
        <top style="thin">
          <color rgb="FF3C88A6"/>
        </top>
        <bottom style="thin">
          <color rgb="FF3C88A6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ont>
        <b/>
        <i val="0"/>
      </font>
      <border>
        <left style="thin">
          <color rgb="FFFF0000"/>
        </left>
        <right style="thin">
          <color rgb="FFFF0000"/>
        </right>
        <vertical/>
        <horizontal/>
      </border>
    </dxf>
    <dxf>
      <font>
        <b/>
        <i val="0"/>
      </font>
      <border>
        <left style="thin">
          <color rgb="FFFF0000"/>
        </left>
        <right style="thin">
          <color rgb="FFFF0000"/>
        </right>
        <top style="thin">
          <color rgb="FFFF0000"/>
        </top>
        <vertical/>
        <horizontal/>
      </border>
    </dxf>
    <dxf>
      <fill>
        <patternFill>
          <bgColor rgb="FF43525B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auto="1"/>
      </font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border outline="0">
        <bottom style="hair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protection locked="1" hidden="1"/>
    </dxf>
    <dxf>
      <protection locked="1" hidden="1"/>
    </dxf>
    <dxf>
      <numFmt numFmtId="0" formatCode="General"/>
      <protection locked="1" hidden="1"/>
    </dxf>
    <dxf>
      <protection locked="1" hidden="1"/>
    </dxf>
    <dxf>
      <protection locked="1" hidden="1"/>
    </dxf>
    <dxf>
      <numFmt numFmtId="168" formatCode="0.000000%"/>
      <protection locked="1" hidden="1"/>
    </dxf>
    <dxf>
      <numFmt numFmtId="168" formatCode="0.000000%"/>
      <protection locked="1" hidden="1"/>
    </dxf>
    <dxf>
      <numFmt numFmtId="168" formatCode="0.00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numFmt numFmtId="14" formatCode="0.00%"/>
      <alignment horizontal="right" vertical="center" textRotation="0" wrapText="0" indent="0" justifyLastLine="0" shrinkToFit="0" readingOrder="0"/>
      <protection locked="1" hidden="1"/>
    </dxf>
    <dxf>
      <numFmt numFmtId="167" formatCode="0.0000%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strike val="0"/>
        <outline val="0"/>
        <shadow val="0"/>
        <u val="none"/>
        <vertAlign val="baseline"/>
        <sz val="14"/>
        <color indexed="9"/>
        <name val="Calibri"/>
        <family val="2"/>
        <scheme val="minor"/>
      </font>
      <numFmt numFmtId="14" formatCode="0.00%"/>
      <fill>
        <patternFill patternType="solid">
          <fgColor indexed="64"/>
          <bgColor rgb="FF3C88A6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1"/>
    </dxf>
    <dxf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medium">
          <color indexed="64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solid">
          <fgColor rgb="FF000000"/>
          <bgColor rgb="FFF2F2F2"/>
        </patternFill>
      </fill>
      <alignment horizontal="right" vertical="center" textRotation="0" wrapText="0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b/>
        <i val="0"/>
      </font>
      <fill>
        <patternFill>
          <bgColor theme="4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strike/>
      </font>
      <fill>
        <patternFill patternType="none">
          <bgColor auto="1"/>
        </patternFill>
      </fill>
      <border>
        <left style="thin">
          <color rgb="FF3C88A6"/>
        </left>
        <right style="thin">
          <color rgb="FF3C88A6"/>
        </right>
        <top style="thin">
          <color rgb="FF3C88A6"/>
        </top>
        <bottom style="thin">
          <color rgb="FF3C88A6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ont>
        <b/>
        <i val="0"/>
      </font>
      <border>
        <left style="thin">
          <color rgb="FFFF0000"/>
        </left>
        <right style="thin">
          <color rgb="FFFF0000"/>
        </right>
        <vertical/>
        <horizontal/>
      </border>
    </dxf>
    <dxf>
      <font>
        <b/>
        <i val="0"/>
      </font>
      <border>
        <left style="thin">
          <color rgb="FFFF0000"/>
        </left>
        <right style="thin">
          <color rgb="FFFF0000"/>
        </right>
        <top style="thin">
          <color rgb="FFFF0000"/>
        </top>
        <vertical/>
        <horizontal/>
      </border>
    </dxf>
    <dxf>
      <fill>
        <patternFill>
          <bgColor rgb="FF43525B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auto="1"/>
      </font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border outline="0">
        <bottom style="hair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protection locked="1" hidden="1"/>
    </dxf>
    <dxf>
      <protection locked="1" hidden="1"/>
    </dxf>
    <dxf>
      <numFmt numFmtId="0" formatCode="General"/>
      <protection locked="1" hidden="1"/>
    </dxf>
    <dxf>
      <protection locked="1" hidden="1"/>
    </dxf>
    <dxf>
      <numFmt numFmtId="167" formatCode="0.000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numFmt numFmtId="14" formatCode="0.00%"/>
      <alignment horizontal="right" vertical="center" textRotation="0" wrapText="0" indent="0" justifyLastLine="0" shrinkToFit="0" readingOrder="0"/>
      <protection locked="1" hidden="1"/>
    </dxf>
    <dxf>
      <numFmt numFmtId="167" formatCode="0.0000%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numFmt numFmtId="14" formatCode="0.00%"/>
      <fill>
        <patternFill patternType="solid">
          <fgColor rgb="FF000000"/>
          <bgColor rgb="FFF2F2F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strike val="0"/>
        <outline val="0"/>
        <shadow val="0"/>
        <u val="none"/>
        <vertAlign val="baseline"/>
        <sz val="14"/>
        <color indexed="9"/>
        <name val="Calibri"/>
        <family val="2"/>
        <scheme val="minor"/>
      </font>
      <numFmt numFmtId="14" formatCode="0.00%"/>
      <fill>
        <patternFill patternType="solid">
          <fgColor indexed="64"/>
          <bgColor rgb="FF3C88A6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1"/>
    </dxf>
    <dxf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medium">
          <color indexed="64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solid">
          <fgColor rgb="FF000000"/>
          <bgColor rgb="FFF2F2F2"/>
        </patternFill>
      </fill>
      <alignment horizontal="right" vertical="center" textRotation="0" wrapText="0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4" formatCode="0.00%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b/>
        <i val="0"/>
      </font>
      <fill>
        <patternFill>
          <bgColor theme="4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ont>
        <b/>
        <i val="0"/>
      </font>
      <border>
        <left style="thin">
          <color rgb="FFFF0000"/>
        </left>
        <right style="thin">
          <color rgb="FFFF0000"/>
        </right>
        <vertical/>
        <horizontal/>
      </border>
    </dxf>
    <dxf>
      <font>
        <b/>
        <i val="0"/>
      </font>
      <border>
        <left style="thin">
          <color rgb="FFFF0000"/>
        </left>
        <right style="thin">
          <color rgb="FFFF0000"/>
        </right>
        <top style="thin">
          <color rgb="FFFF0000"/>
        </top>
        <vertical/>
        <horizontal/>
      </border>
    </dxf>
    <dxf>
      <fill>
        <patternFill>
          <bgColor rgb="FF43525B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border outline="0">
        <bottom style="hair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protection locked="1" hidden="1"/>
    </dxf>
    <dxf>
      <protection locked="1" hidden="1"/>
    </dxf>
    <dxf>
      <numFmt numFmtId="0" formatCode="General"/>
      <protection locked="1" hidden="1"/>
    </dxf>
    <dxf>
      <protection locked="1" hidden="1"/>
    </dxf>
    <dxf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numFmt numFmtId="167" formatCode="0.000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alignment horizontal="right" vertical="center" textRotation="0" wrapText="0" indent="0" justifyLastLine="0" shrinkToFit="0" readingOrder="0"/>
      <protection locked="1" hidden="1"/>
    </dxf>
    <dxf>
      <numFmt numFmtId="167" formatCode="0.0000%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font>
        <b val="0"/>
        <strike val="0"/>
        <outline val="0"/>
        <shadow val="0"/>
        <u val="none"/>
        <vertAlign val="baseline"/>
        <sz val="14"/>
        <color indexed="9"/>
        <name val="Calibri"/>
        <family val="2"/>
        <scheme val="minor"/>
      </font>
      <numFmt numFmtId="14" formatCode="0.00%"/>
      <fill>
        <patternFill patternType="solid">
          <fgColor indexed="64"/>
          <bgColor rgb="FF3C88A6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1"/>
    </dxf>
    <dxf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medium">
          <color indexed="64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protection locked="1" hidden="1"/>
    </dxf>
    <dxf>
      <alignment horizontal="center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protection locked="1" hidden="1"/>
    </dxf>
    <dxf>
      <font>
        <b/>
        <i val="0"/>
      </font>
      <fill>
        <patternFill>
          <bgColor theme="4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ont>
        <b/>
        <i val="0"/>
      </font>
      <border>
        <left style="thin">
          <color rgb="FFFF0000"/>
        </left>
        <right style="thin">
          <color rgb="FFFF0000"/>
        </right>
        <vertical/>
        <horizontal/>
      </border>
    </dxf>
    <dxf>
      <font>
        <b/>
        <i val="0"/>
      </font>
      <border>
        <left style="thin">
          <color rgb="FFFF0000"/>
        </left>
        <right style="thin">
          <color rgb="FFFF0000"/>
        </right>
        <top style="thin">
          <color rgb="FFFF0000"/>
        </top>
        <vertical/>
        <horizontal/>
      </border>
    </dxf>
    <dxf>
      <fill>
        <patternFill>
          <bgColor rgb="FF43525B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protection locked="1" hidden="1"/>
    </dxf>
    <dxf>
      <numFmt numFmtId="0" formatCode="General"/>
      <protection locked="1" hidden="1"/>
    </dxf>
    <dxf>
      <protection locked="1" hidden="1"/>
    </dxf>
    <dxf>
      <protection locked="1" hidden="1"/>
    </dxf>
    <dxf>
      <fill>
        <patternFill>
          <bgColor theme="7" tint="0.59996337778862885"/>
        </patternFill>
      </fill>
    </dxf>
    <dxf>
      <font>
        <b/>
        <i val="0"/>
      </font>
      <border>
        <left style="thin">
          <color rgb="FFFF0000"/>
        </left>
        <right style="thin">
          <color rgb="FFFF0000"/>
        </right>
        <bottom style="thin">
          <color rgb="FFFF0000"/>
        </bottom>
      </border>
    </dxf>
    <dxf>
      <font>
        <b/>
        <i val="0"/>
      </font>
      <border>
        <left style="thin">
          <color rgb="FFFF0000"/>
        </left>
        <right style="thin">
          <color rgb="FFFF0000"/>
        </right>
        <vertical/>
        <horizontal/>
      </border>
    </dxf>
    <dxf>
      <font>
        <b/>
        <i val="0"/>
      </font>
      <border>
        <left style="thin">
          <color rgb="FFFF0000"/>
        </left>
        <right style="thin">
          <color rgb="FFFF0000"/>
        </right>
        <top style="thin">
          <color rgb="FFFF0000"/>
        </top>
        <vertical/>
        <horizontal/>
      </border>
    </dxf>
    <dxf>
      <fill>
        <patternFill>
          <bgColor rgb="FF43525B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color theme="0"/>
      </font>
      <fill>
        <patternFill patternType="solid">
          <fgColor rgb="FF3C88A6"/>
          <bgColor rgb="FF3C88A6"/>
        </patternFill>
      </fill>
    </dxf>
    <dxf>
      <font>
        <b/>
        <color theme="0"/>
      </font>
      <fill>
        <patternFill patternType="solid">
          <fgColor rgb="FF1E88A6"/>
          <bgColor rgb="FF3C88A6"/>
        </patternFill>
      </fill>
      <border>
        <right style="thin">
          <color auto="1"/>
        </right>
      </border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rgb="FF1E88A6"/>
          <bgColor rgb="FF3C88A6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medium">
          <color theme="1"/>
        </top>
        <bottom style="medium">
          <color theme="1"/>
        </bottom>
        <vertical style="hair">
          <color theme="1"/>
        </vertical>
        <horizontal style="hair">
          <color theme="1"/>
        </horizont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vertical style="thin">
          <color theme="0"/>
        </vertical>
      </border>
    </dxf>
    <dxf>
      <font>
        <b/>
        <color theme="0"/>
      </font>
      <fill>
        <patternFill patternType="solid">
          <fgColor rgb="FF3C88A6"/>
          <bgColor rgb="FF3C88A6"/>
        </patternFill>
      </fill>
    </dxf>
    <dxf>
      <font>
        <b/>
        <color theme="0"/>
      </font>
      <fill>
        <patternFill patternType="solid">
          <fgColor rgb="FF1E88A6"/>
          <bgColor rgb="FF3C88A6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rgb="FF1E88A6"/>
          <bgColor rgb="FF3C88A6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2" defaultTableStyle="TableStyleMedium2" defaultPivotStyle="PivotStyleLight16">
    <tableStyle name="DLC_TABLE_STYLE_1" pivot="0" count="7" xr9:uid="{DF096A1C-BBD4-4621-82BB-503E925B9F69}">
      <tableStyleElement type="wholeTable" dxfId="318"/>
      <tableStyleElement type="headerRow" dxfId="317"/>
      <tableStyleElement type="totalRow" dxfId="316"/>
      <tableStyleElement type="firstColumn" dxfId="315"/>
      <tableStyleElement type="lastColumn" dxfId="314"/>
      <tableStyleElement type="firstRowStripe" dxfId="313"/>
      <tableStyleElement type="firstColumnStripe" dxfId="312"/>
    </tableStyle>
    <tableStyle name="DLC_TABLE_STYLE_1 2" pivot="0" count="5" xr9:uid="{2808F9C3-7113-4CB0-850D-87D4B52B1D52}">
      <tableStyleElement type="wholeTable" dxfId="311"/>
      <tableStyleElement type="headerRow" dxfId="310"/>
      <tableStyleElement type="totalRow" dxfId="309"/>
      <tableStyleElement type="firstColumn" dxfId="308"/>
      <tableStyleElement type="lastColumn" dxfId="307"/>
    </tableStyle>
  </tableStyles>
  <colors>
    <mruColors>
      <color rgb="FF3C88A6"/>
      <color rgb="FF43525B"/>
      <color rgb="FF79CFE7"/>
      <color rgb="FF62A9C6"/>
      <color rgb="FF1E88A6"/>
      <color rgb="FF8734CC"/>
      <color rgb="FF4091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54603314316635565"/>
          <c:w val="0.96810823725267237"/>
          <c:h val="0.23953652134946543"/>
        </c:manualLayout>
      </c:layout>
      <c:barChart>
        <c:barDir val="bar"/>
        <c:grouping val="stacked"/>
        <c:varyColors val="0"/>
        <c:ser>
          <c:idx val="6"/>
          <c:order val="0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00000">
                    <a:srgbClr val="1E88A6">
                      <a:alpha val="65000"/>
                    </a:srgbClr>
                  </a:gs>
                  <a:gs pos="0">
                    <a:srgbClr val="1E88A6"/>
                  </a:gs>
                </a:gsLst>
                <a:lin ang="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9E-4650-B709-9FBA6C2EB31C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9E-4650-B709-9FBA6C2EB3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SUPORTE!$Q$11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9E-4650-B709-9FBA6C2EB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59862096"/>
        <c:axId val="746001456"/>
      </c:barChart>
      <c:catAx>
        <c:axId val="759862096"/>
        <c:scaling>
          <c:orientation val="minMax"/>
        </c:scaling>
        <c:delete val="1"/>
        <c:axPos val="l"/>
        <c:numFmt formatCode="[$-416]mmm/\y\y;@" sourceLinked="1"/>
        <c:majorTickMark val="out"/>
        <c:minorTickMark val="none"/>
        <c:tickLblPos val="nextTo"/>
        <c:crossAx val="746001456"/>
        <c:crossesAt val="0"/>
        <c:auto val="1"/>
        <c:lblAlgn val="ctr"/>
        <c:lblOffset val="100"/>
        <c:noMultiLvlLbl val="0"/>
      </c:catAx>
      <c:valAx>
        <c:axId val="746001456"/>
        <c:scaling>
          <c:orientation val="minMax"/>
          <c:max val="1"/>
        </c:scaling>
        <c:delete val="1"/>
        <c:axPos val="b"/>
        <c:numFmt formatCode="0%" sourceLinked="0"/>
        <c:majorTickMark val="none"/>
        <c:minorTickMark val="none"/>
        <c:tickLblPos val="nextTo"/>
        <c:crossAx val="75986209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SUPORTE!$D$11</c:f>
              <c:strCache>
                <c:ptCount val="1"/>
                <c:pt idx="0">
                  <c:v>% DENTRO DA FAIXA</c:v>
                </c:pt>
              </c:strCache>
            </c:strRef>
          </c:tx>
          <c:spPr>
            <a:pattFill prst="narHorz">
              <a:fgClr>
                <a:srgbClr val="1E88A6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SUPORTE!$E$2:$P$2</c:f>
              <c:numCache>
                <c:formatCode>[$-416]mmm/yy;@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SUPORTE!$F$11:$Q$11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B-43AC-A2B6-56552FB83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022624"/>
        <c:axId val="690619568"/>
      </c:areaChart>
      <c:barChart>
        <c:barDir val="col"/>
        <c:grouping val="clustered"/>
        <c:varyColors val="0"/>
        <c:ser>
          <c:idx val="1"/>
          <c:order val="1"/>
          <c:tx>
            <c:strRef>
              <c:f>SUPORTE!$D$4</c:f>
              <c:strCache>
                <c:ptCount val="1"/>
                <c:pt idx="0">
                  <c:v>FATURAMENTO DOS ÚLTIMOS 12 MESES</c:v>
                </c:pt>
              </c:strCache>
            </c:strRef>
          </c:tx>
          <c:spPr>
            <a:gradFill>
              <a:gsLst>
                <a:gs pos="100000">
                  <a:srgbClr val="1E88A6"/>
                </a:gs>
                <a:gs pos="0">
                  <a:srgbClr val="79CFE7"/>
                </a:gs>
              </a:gsLst>
              <a:lin ang="2700000" scaled="0"/>
            </a:gradFill>
            <a:ln>
              <a:noFill/>
            </a:ln>
            <a:effectLst/>
          </c:spPr>
          <c:invertIfNegative val="0"/>
          <c:cat>
            <c:numRef>
              <c:f>SUPORTE!$E$2:$P$2</c:f>
              <c:numCache>
                <c:formatCode>[$-416]mmm/yy;@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SUPORTE!$F$4:$Q$4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DB-43AC-A2B6-56552FB83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1215984"/>
        <c:axId val="690621648"/>
      </c:barChart>
      <c:lineChart>
        <c:grouping val="standard"/>
        <c:varyColors val="0"/>
        <c:ser>
          <c:idx val="2"/>
          <c:order val="2"/>
          <c:tx>
            <c:strRef>
              <c:f>SUPORTE!$D$9</c:f>
              <c:strCache>
                <c:ptCount val="1"/>
                <c:pt idx="0">
                  <c:v>LIMITE DA FAIXA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3"/>
            <c:spPr>
              <a:solidFill>
                <a:srgbClr val="1E88A6">
                  <a:alpha val="72000"/>
                </a:srgbClr>
              </a:solidFill>
              <a:ln w="12700" cap="sq">
                <a:noFill/>
                <a:bevel/>
              </a:ln>
              <a:effectLst/>
            </c:spPr>
          </c:marker>
          <c:cat>
            <c:numRef>
              <c:f>SUPORTE!$F$2:$Q$2</c:f>
              <c:numCache>
                <c:formatCode>[$-416]mmm/yy;@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SUPORTE!$F$9:$Q$9</c:f>
              <c:numCache>
                <c:formatCode>#,##0.00</c:formatCode>
                <c:ptCount val="12"/>
                <c:pt idx="0">
                  <c:v>180000</c:v>
                </c:pt>
                <c:pt idx="1">
                  <c:v>180000</c:v>
                </c:pt>
                <c:pt idx="2">
                  <c:v>180000</c:v>
                </c:pt>
                <c:pt idx="3">
                  <c:v>180000</c:v>
                </c:pt>
                <c:pt idx="4">
                  <c:v>180000</c:v>
                </c:pt>
                <c:pt idx="5">
                  <c:v>180000</c:v>
                </c:pt>
                <c:pt idx="6">
                  <c:v>180000</c:v>
                </c:pt>
                <c:pt idx="7">
                  <c:v>180000</c:v>
                </c:pt>
                <c:pt idx="8">
                  <c:v>180000</c:v>
                </c:pt>
                <c:pt idx="9">
                  <c:v>180000</c:v>
                </c:pt>
                <c:pt idx="10">
                  <c:v>180000</c:v>
                </c:pt>
                <c:pt idx="11">
                  <c:v>180000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9DB-43AC-A2B6-56552FB83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15984"/>
        <c:axId val="690621648"/>
      </c:lineChart>
      <c:dateAx>
        <c:axId val="611215984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0621648"/>
        <c:crosses val="autoZero"/>
        <c:auto val="1"/>
        <c:lblOffset val="100"/>
        <c:baseTimeUnit val="months"/>
      </c:dateAx>
      <c:valAx>
        <c:axId val="69062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FAT. ÚLTIMOS 12 MESES (R$)</a:t>
                </a:r>
              </a:p>
            </c:rich>
          </c:tx>
          <c:layout>
            <c:manualLayout>
              <c:xMode val="edge"/>
              <c:yMode val="edge"/>
              <c:x val="2.0529539258945059E-2"/>
              <c:y val="0.11768616835275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1215984"/>
        <c:crosses val="autoZero"/>
        <c:crossBetween val="between"/>
      </c:valAx>
      <c:valAx>
        <c:axId val="690619568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022624"/>
        <c:crosses val="max"/>
        <c:crossBetween val="between"/>
      </c:valAx>
      <c:dateAx>
        <c:axId val="461022624"/>
        <c:scaling>
          <c:orientation val="minMax"/>
        </c:scaling>
        <c:delete val="1"/>
        <c:axPos val="b"/>
        <c:numFmt formatCode="[$-416]mmm/yy;@" sourceLinked="1"/>
        <c:majorTickMark val="out"/>
        <c:minorTickMark val="none"/>
        <c:tickLblPos val="nextTo"/>
        <c:crossAx val="6906195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SUPORTE!$D$11</c:f>
              <c:strCache>
                <c:ptCount val="1"/>
                <c:pt idx="0">
                  <c:v>% DENTRO DA FAIXA</c:v>
                </c:pt>
              </c:strCache>
            </c:strRef>
          </c:tx>
          <c:spPr>
            <a:pattFill prst="narHorz">
              <a:fgClr>
                <a:srgbClr val="1E88A6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SUPORTE!$E$2:$P$2</c:f>
              <c:numCache>
                <c:formatCode>[$-416]mmm/yy;@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SUPORTE!$F$11:$Q$11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B-4AD2-9F96-EE137EB5B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022624"/>
        <c:axId val="690619568"/>
      </c:areaChart>
      <c:barChart>
        <c:barDir val="col"/>
        <c:grouping val="clustered"/>
        <c:varyColors val="0"/>
        <c:ser>
          <c:idx val="1"/>
          <c:order val="1"/>
          <c:tx>
            <c:strRef>
              <c:f>SUPORTE!$D$4</c:f>
              <c:strCache>
                <c:ptCount val="1"/>
                <c:pt idx="0">
                  <c:v>FATURAMENTO DOS ÚLTIMOS 12 MESES</c:v>
                </c:pt>
              </c:strCache>
            </c:strRef>
          </c:tx>
          <c:spPr>
            <a:gradFill>
              <a:gsLst>
                <a:gs pos="100000">
                  <a:srgbClr val="1E88A6"/>
                </a:gs>
                <a:gs pos="0">
                  <a:srgbClr val="79CFE7"/>
                </a:gs>
              </a:gsLst>
              <a:lin ang="2700000" scaled="0"/>
            </a:gradFill>
            <a:ln>
              <a:noFill/>
            </a:ln>
            <a:effectLst/>
          </c:spPr>
          <c:invertIfNegative val="0"/>
          <c:cat>
            <c:numRef>
              <c:f>SUPORTE!$E$2:$P$2</c:f>
              <c:numCache>
                <c:formatCode>[$-416]mmm/yy;@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SUPORTE!$F$4:$Q$4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B-4AD2-9F96-EE137EB5B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1215984"/>
        <c:axId val="690621648"/>
      </c:barChart>
      <c:lineChart>
        <c:grouping val="standard"/>
        <c:varyColors val="0"/>
        <c:ser>
          <c:idx val="2"/>
          <c:order val="2"/>
          <c:tx>
            <c:strRef>
              <c:f>SUPORTE!$D$9</c:f>
              <c:strCache>
                <c:ptCount val="1"/>
                <c:pt idx="0">
                  <c:v>LIMITE DA FAIXA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3"/>
            <c:spPr>
              <a:solidFill>
                <a:srgbClr val="1E88A6">
                  <a:alpha val="72000"/>
                </a:srgbClr>
              </a:solidFill>
              <a:ln w="12700" cap="sq">
                <a:noFill/>
                <a:bevel/>
              </a:ln>
              <a:effectLst/>
            </c:spPr>
          </c:marker>
          <c:cat>
            <c:numRef>
              <c:f>SUPORTE!$F$2:$Q$2</c:f>
              <c:numCache>
                <c:formatCode>[$-416]mmm/yy;@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SUPORTE!$F$2:$Q$2</c:f>
              <c:numCache>
                <c:formatCode>[$-416]mmm/yy;@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EDB-4AD2-9F96-EE137EB5B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15984"/>
        <c:axId val="690621648"/>
      </c:lineChart>
      <c:dateAx>
        <c:axId val="611215984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0621648"/>
        <c:crosses val="autoZero"/>
        <c:auto val="1"/>
        <c:lblOffset val="100"/>
        <c:baseTimeUnit val="months"/>
      </c:dateAx>
      <c:valAx>
        <c:axId val="69062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FAT. ÚLTIMOS 12 MESES (R$)</a:t>
                </a:r>
              </a:p>
            </c:rich>
          </c:tx>
          <c:layout>
            <c:manualLayout>
              <c:xMode val="edge"/>
              <c:yMode val="edge"/>
              <c:x val="2.0529539258945059E-2"/>
              <c:y val="0.11768616835275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1215984"/>
        <c:crosses val="autoZero"/>
        <c:crossBetween val="between"/>
      </c:valAx>
      <c:valAx>
        <c:axId val="690619568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022624"/>
        <c:crosses val="max"/>
        <c:crossBetween val="between"/>
      </c:valAx>
      <c:dateAx>
        <c:axId val="461022624"/>
        <c:scaling>
          <c:orientation val="minMax"/>
        </c:scaling>
        <c:delete val="1"/>
        <c:axPos val="b"/>
        <c:numFmt formatCode="[$-416]mmm/yy;@" sourceLinked="1"/>
        <c:majorTickMark val="out"/>
        <c:minorTickMark val="none"/>
        <c:tickLblPos val="nextTo"/>
        <c:crossAx val="6906195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SUPORTE!$D$11</c:f>
              <c:strCache>
                <c:ptCount val="1"/>
                <c:pt idx="0">
                  <c:v>% DENTRO DA FAIXA</c:v>
                </c:pt>
              </c:strCache>
            </c:strRef>
          </c:tx>
          <c:spPr>
            <a:pattFill prst="narHorz">
              <a:fgClr>
                <a:srgbClr val="1E88A6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SUPORTE!$E$2:$P$2</c:f>
              <c:numCache>
                <c:formatCode>[$-416]mmm/yy;@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SUPORTE!$F$11:$Q$11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C-486F-AF56-293F2D526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022624"/>
        <c:axId val="690619568"/>
      </c:areaChart>
      <c:barChart>
        <c:barDir val="col"/>
        <c:grouping val="clustered"/>
        <c:varyColors val="0"/>
        <c:ser>
          <c:idx val="1"/>
          <c:order val="1"/>
          <c:tx>
            <c:strRef>
              <c:f>SUPORTE!$D$4</c:f>
              <c:strCache>
                <c:ptCount val="1"/>
                <c:pt idx="0">
                  <c:v>FATURAMENTO DOS ÚLTIMOS 12 MESES</c:v>
                </c:pt>
              </c:strCache>
            </c:strRef>
          </c:tx>
          <c:spPr>
            <a:gradFill>
              <a:gsLst>
                <a:gs pos="100000">
                  <a:srgbClr val="1E88A6"/>
                </a:gs>
                <a:gs pos="0">
                  <a:srgbClr val="79CFE7"/>
                </a:gs>
              </a:gsLst>
              <a:lin ang="2700000" scaled="0"/>
            </a:gradFill>
            <a:ln>
              <a:noFill/>
            </a:ln>
            <a:effectLst/>
          </c:spPr>
          <c:invertIfNegative val="0"/>
          <c:cat>
            <c:numRef>
              <c:f>SUPORTE!$E$2:$P$2</c:f>
              <c:numCache>
                <c:formatCode>[$-416]mmm/yy;@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SUPORTE!$F$4:$Q$4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C-486F-AF56-293F2D526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1215984"/>
        <c:axId val="690621648"/>
      </c:barChart>
      <c:lineChart>
        <c:grouping val="standard"/>
        <c:varyColors val="0"/>
        <c:ser>
          <c:idx val="2"/>
          <c:order val="2"/>
          <c:tx>
            <c:strRef>
              <c:f>SUPORTE!$D$9</c:f>
              <c:strCache>
                <c:ptCount val="1"/>
                <c:pt idx="0">
                  <c:v>LIMITE DA FAIXA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3"/>
            <c:spPr>
              <a:solidFill>
                <a:srgbClr val="1E88A6">
                  <a:alpha val="72000"/>
                </a:srgbClr>
              </a:solidFill>
              <a:ln w="12700" cap="sq">
                <a:noFill/>
                <a:bevel/>
              </a:ln>
              <a:effectLst/>
            </c:spPr>
          </c:marker>
          <c:cat>
            <c:numRef>
              <c:f>SUPORTE!$F$2:$Q$2</c:f>
              <c:numCache>
                <c:formatCode>[$-416]mmm/yy;@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SUPORTE!$F$9:$Q$9</c:f>
              <c:numCache>
                <c:formatCode>#,##0.00</c:formatCode>
                <c:ptCount val="12"/>
                <c:pt idx="0">
                  <c:v>180000</c:v>
                </c:pt>
                <c:pt idx="1">
                  <c:v>180000</c:v>
                </c:pt>
                <c:pt idx="2">
                  <c:v>180000</c:v>
                </c:pt>
                <c:pt idx="3">
                  <c:v>180000</c:v>
                </c:pt>
                <c:pt idx="4">
                  <c:v>180000</c:v>
                </c:pt>
                <c:pt idx="5">
                  <c:v>180000</c:v>
                </c:pt>
                <c:pt idx="6">
                  <c:v>180000</c:v>
                </c:pt>
                <c:pt idx="7">
                  <c:v>180000</c:v>
                </c:pt>
                <c:pt idx="8">
                  <c:v>180000</c:v>
                </c:pt>
                <c:pt idx="9">
                  <c:v>180000</c:v>
                </c:pt>
                <c:pt idx="10">
                  <c:v>180000</c:v>
                </c:pt>
                <c:pt idx="11">
                  <c:v>180000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0DC-486F-AF56-293F2D526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15984"/>
        <c:axId val="690621648"/>
      </c:lineChart>
      <c:dateAx>
        <c:axId val="611215984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0621648"/>
        <c:crosses val="autoZero"/>
        <c:auto val="1"/>
        <c:lblOffset val="100"/>
        <c:baseTimeUnit val="months"/>
      </c:dateAx>
      <c:valAx>
        <c:axId val="69062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FAT. ÚLTIMOS 12 MESES (R$)</a:t>
                </a:r>
              </a:p>
            </c:rich>
          </c:tx>
          <c:layout>
            <c:manualLayout>
              <c:xMode val="edge"/>
              <c:yMode val="edge"/>
              <c:x val="2.0529539258945059E-2"/>
              <c:y val="0.11768616835275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1215984"/>
        <c:crosses val="autoZero"/>
        <c:crossBetween val="between"/>
      </c:valAx>
      <c:valAx>
        <c:axId val="690619568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022624"/>
        <c:crosses val="max"/>
        <c:crossBetween val="between"/>
      </c:valAx>
      <c:dateAx>
        <c:axId val="461022624"/>
        <c:scaling>
          <c:orientation val="minMax"/>
        </c:scaling>
        <c:delete val="1"/>
        <c:axPos val="b"/>
        <c:numFmt formatCode="[$-416]mmm/yy;@" sourceLinked="1"/>
        <c:majorTickMark val="out"/>
        <c:minorTickMark val="none"/>
        <c:tickLblPos val="nextTo"/>
        <c:crossAx val="6906195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54603314316635565"/>
          <c:w val="0.96810823725267237"/>
          <c:h val="0.23953652134946543"/>
        </c:manualLayout>
      </c:layout>
      <c:barChart>
        <c:barDir val="bar"/>
        <c:grouping val="stacked"/>
        <c:varyColors val="0"/>
        <c:ser>
          <c:idx val="6"/>
          <c:order val="0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00000">
                    <a:srgbClr val="1E88A6">
                      <a:alpha val="65000"/>
                    </a:srgbClr>
                  </a:gs>
                  <a:gs pos="0">
                    <a:srgbClr val="1E88A6"/>
                  </a:gs>
                </a:gsLst>
                <a:lin ang="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13-4D06-B35A-94B76873184B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13-4D06-B35A-94B7687318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SUPORTE!$Q$11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3-4D06-B35A-94B768731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59862096"/>
        <c:axId val="746001456"/>
      </c:barChart>
      <c:catAx>
        <c:axId val="759862096"/>
        <c:scaling>
          <c:orientation val="minMax"/>
        </c:scaling>
        <c:delete val="1"/>
        <c:axPos val="l"/>
        <c:numFmt formatCode="[$-416]mmm/\y\y;@" sourceLinked="1"/>
        <c:majorTickMark val="out"/>
        <c:minorTickMark val="none"/>
        <c:tickLblPos val="nextTo"/>
        <c:crossAx val="746001456"/>
        <c:crossesAt val="0"/>
        <c:auto val="1"/>
        <c:lblAlgn val="ctr"/>
        <c:lblOffset val="100"/>
        <c:noMultiLvlLbl val="0"/>
      </c:catAx>
      <c:valAx>
        <c:axId val="746001456"/>
        <c:scaling>
          <c:orientation val="minMax"/>
          <c:max val="1"/>
        </c:scaling>
        <c:delete val="1"/>
        <c:axPos val="b"/>
        <c:numFmt formatCode="0%" sourceLinked="0"/>
        <c:majorTickMark val="none"/>
        <c:minorTickMark val="none"/>
        <c:tickLblPos val="nextTo"/>
        <c:crossAx val="75986209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SUPORTE!$D$11</c:f>
              <c:strCache>
                <c:ptCount val="1"/>
                <c:pt idx="0">
                  <c:v>% DENTRO DA FAIXA</c:v>
                </c:pt>
              </c:strCache>
            </c:strRef>
          </c:tx>
          <c:spPr>
            <a:pattFill prst="narHorz">
              <a:fgClr>
                <a:srgbClr val="1E88A6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SUPORTE!$E$2:$P$2</c:f>
              <c:numCache>
                <c:formatCode>[$-416]mmm/yy;@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SUPORTE!$F$11:$Q$11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4-49FF-B07B-97C3DC07D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022624"/>
        <c:axId val="690619568"/>
      </c:areaChart>
      <c:barChart>
        <c:barDir val="col"/>
        <c:grouping val="clustered"/>
        <c:varyColors val="0"/>
        <c:ser>
          <c:idx val="1"/>
          <c:order val="1"/>
          <c:tx>
            <c:strRef>
              <c:f>SUPORTE!$D$4</c:f>
              <c:strCache>
                <c:ptCount val="1"/>
                <c:pt idx="0">
                  <c:v>FATURAMENTO DOS ÚLTIMOS 12 MESES</c:v>
                </c:pt>
              </c:strCache>
            </c:strRef>
          </c:tx>
          <c:spPr>
            <a:gradFill>
              <a:gsLst>
                <a:gs pos="100000">
                  <a:srgbClr val="1E88A6"/>
                </a:gs>
                <a:gs pos="0">
                  <a:srgbClr val="79CFE7"/>
                </a:gs>
              </a:gsLst>
              <a:lin ang="2700000" scaled="0"/>
            </a:gradFill>
            <a:ln>
              <a:noFill/>
            </a:ln>
            <a:effectLst/>
          </c:spPr>
          <c:invertIfNegative val="0"/>
          <c:cat>
            <c:numRef>
              <c:f>SUPORTE!$E$2:$P$2</c:f>
              <c:numCache>
                <c:formatCode>[$-416]mmm/yy;@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SUPORTE!$F$4:$Q$4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B4-49FF-B07B-97C3DC07D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1215984"/>
        <c:axId val="690621648"/>
      </c:barChart>
      <c:lineChart>
        <c:grouping val="standard"/>
        <c:varyColors val="0"/>
        <c:ser>
          <c:idx val="2"/>
          <c:order val="2"/>
          <c:tx>
            <c:strRef>
              <c:f>SUPORTE!$D$9</c:f>
              <c:strCache>
                <c:ptCount val="1"/>
                <c:pt idx="0">
                  <c:v>LIMITE DA FAIXA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3"/>
            <c:spPr>
              <a:solidFill>
                <a:srgbClr val="1E88A6">
                  <a:alpha val="72000"/>
                </a:srgbClr>
              </a:solidFill>
              <a:ln w="12700" cap="sq">
                <a:noFill/>
                <a:bevel/>
              </a:ln>
              <a:effectLst/>
            </c:spPr>
          </c:marker>
          <c:cat>
            <c:numRef>
              <c:f>SUPORTE!$F$2:$Q$2</c:f>
              <c:numCache>
                <c:formatCode>[$-416]mmm/yy;@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SUPORTE!$F$9:$Q$9</c:f>
              <c:numCache>
                <c:formatCode>#,##0.00</c:formatCode>
                <c:ptCount val="12"/>
                <c:pt idx="0">
                  <c:v>180000</c:v>
                </c:pt>
                <c:pt idx="1">
                  <c:v>180000</c:v>
                </c:pt>
                <c:pt idx="2">
                  <c:v>180000</c:v>
                </c:pt>
                <c:pt idx="3">
                  <c:v>180000</c:v>
                </c:pt>
                <c:pt idx="4">
                  <c:v>180000</c:v>
                </c:pt>
                <c:pt idx="5">
                  <c:v>180000</c:v>
                </c:pt>
                <c:pt idx="6">
                  <c:v>180000</c:v>
                </c:pt>
                <c:pt idx="7">
                  <c:v>180000</c:v>
                </c:pt>
                <c:pt idx="8">
                  <c:v>180000</c:v>
                </c:pt>
                <c:pt idx="9">
                  <c:v>180000</c:v>
                </c:pt>
                <c:pt idx="10">
                  <c:v>180000</c:v>
                </c:pt>
                <c:pt idx="11">
                  <c:v>180000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1B4-49FF-B07B-97C3DC07D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15984"/>
        <c:axId val="690621648"/>
      </c:lineChart>
      <c:dateAx>
        <c:axId val="611215984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0621648"/>
        <c:crosses val="autoZero"/>
        <c:auto val="1"/>
        <c:lblOffset val="100"/>
        <c:baseTimeUnit val="months"/>
      </c:dateAx>
      <c:valAx>
        <c:axId val="69062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FAT. ÚLTIMOS 12 MESES (R$)</a:t>
                </a:r>
              </a:p>
            </c:rich>
          </c:tx>
          <c:layout>
            <c:manualLayout>
              <c:xMode val="edge"/>
              <c:yMode val="edge"/>
              <c:x val="2.0529539258945059E-2"/>
              <c:y val="0.11768616835275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1215984"/>
        <c:crosses val="autoZero"/>
        <c:crossBetween val="between"/>
      </c:valAx>
      <c:valAx>
        <c:axId val="690619568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022624"/>
        <c:crosses val="max"/>
        <c:crossBetween val="between"/>
      </c:valAx>
      <c:dateAx>
        <c:axId val="461022624"/>
        <c:scaling>
          <c:orientation val="minMax"/>
        </c:scaling>
        <c:delete val="1"/>
        <c:axPos val="b"/>
        <c:numFmt formatCode="[$-416]mmm/yy;@" sourceLinked="1"/>
        <c:majorTickMark val="out"/>
        <c:minorTickMark val="none"/>
        <c:tickLblPos val="nextTo"/>
        <c:crossAx val="6906195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54603314316635565"/>
          <c:w val="0.96810823725267237"/>
          <c:h val="0.23953652134946543"/>
        </c:manualLayout>
      </c:layout>
      <c:barChart>
        <c:barDir val="bar"/>
        <c:grouping val="stacked"/>
        <c:varyColors val="0"/>
        <c:ser>
          <c:idx val="6"/>
          <c:order val="0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00000">
                    <a:srgbClr val="1E88A6">
                      <a:alpha val="65000"/>
                    </a:srgbClr>
                  </a:gs>
                  <a:gs pos="0">
                    <a:srgbClr val="1E88A6"/>
                  </a:gs>
                </a:gsLst>
                <a:lin ang="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24-4D1E-A05E-647BD9F68DA6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24-4D1E-A05E-647BD9F68D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SUPORTE!$Q$11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24-4D1E-A05E-647BD9F68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59862096"/>
        <c:axId val="746001456"/>
      </c:barChart>
      <c:catAx>
        <c:axId val="759862096"/>
        <c:scaling>
          <c:orientation val="minMax"/>
        </c:scaling>
        <c:delete val="1"/>
        <c:axPos val="l"/>
        <c:numFmt formatCode="[$-416]mmm/\y\y;@" sourceLinked="1"/>
        <c:majorTickMark val="out"/>
        <c:minorTickMark val="none"/>
        <c:tickLblPos val="nextTo"/>
        <c:crossAx val="746001456"/>
        <c:crossesAt val="0"/>
        <c:auto val="1"/>
        <c:lblAlgn val="ctr"/>
        <c:lblOffset val="100"/>
        <c:noMultiLvlLbl val="0"/>
      </c:catAx>
      <c:valAx>
        <c:axId val="746001456"/>
        <c:scaling>
          <c:orientation val="minMax"/>
          <c:max val="1"/>
        </c:scaling>
        <c:delete val="1"/>
        <c:axPos val="b"/>
        <c:numFmt formatCode="0%" sourceLinked="0"/>
        <c:majorTickMark val="none"/>
        <c:minorTickMark val="none"/>
        <c:tickLblPos val="nextTo"/>
        <c:crossAx val="75986209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SUPORTE!$D$11</c:f>
              <c:strCache>
                <c:ptCount val="1"/>
                <c:pt idx="0">
                  <c:v>% DENTRO DA FAIXA</c:v>
                </c:pt>
              </c:strCache>
            </c:strRef>
          </c:tx>
          <c:spPr>
            <a:pattFill prst="narHorz">
              <a:fgClr>
                <a:srgbClr val="1E88A6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SUPORTE!$E$2:$P$2</c:f>
              <c:numCache>
                <c:formatCode>[$-416]mmm/yy;@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SUPORTE!$F$11:$Q$11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5-4124-8B69-92DF001DC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022624"/>
        <c:axId val="690619568"/>
      </c:areaChart>
      <c:barChart>
        <c:barDir val="col"/>
        <c:grouping val="clustered"/>
        <c:varyColors val="0"/>
        <c:ser>
          <c:idx val="1"/>
          <c:order val="1"/>
          <c:tx>
            <c:strRef>
              <c:f>SUPORTE!$D$4</c:f>
              <c:strCache>
                <c:ptCount val="1"/>
                <c:pt idx="0">
                  <c:v>FATURAMENTO DOS ÚLTIMOS 12 MESES</c:v>
                </c:pt>
              </c:strCache>
            </c:strRef>
          </c:tx>
          <c:spPr>
            <a:gradFill>
              <a:gsLst>
                <a:gs pos="100000">
                  <a:srgbClr val="1E88A6"/>
                </a:gs>
                <a:gs pos="0">
                  <a:srgbClr val="79CFE7"/>
                </a:gs>
              </a:gsLst>
              <a:lin ang="2700000" scaled="0"/>
            </a:gradFill>
            <a:ln>
              <a:noFill/>
            </a:ln>
            <a:effectLst/>
          </c:spPr>
          <c:invertIfNegative val="0"/>
          <c:cat>
            <c:numRef>
              <c:f>SUPORTE!$E$2:$P$2</c:f>
              <c:numCache>
                <c:formatCode>[$-416]mmm/yy;@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SUPORTE!$F$4:$Q$4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15-4124-8B69-92DF001DC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1215984"/>
        <c:axId val="690621648"/>
      </c:barChart>
      <c:lineChart>
        <c:grouping val="standard"/>
        <c:varyColors val="0"/>
        <c:ser>
          <c:idx val="2"/>
          <c:order val="2"/>
          <c:tx>
            <c:strRef>
              <c:f>SUPORTE!$D$9</c:f>
              <c:strCache>
                <c:ptCount val="1"/>
                <c:pt idx="0">
                  <c:v>LIMITE DA FAIXA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3"/>
            <c:spPr>
              <a:solidFill>
                <a:srgbClr val="1E88A6">
                  <a:alpha val="72000"/>
                </a:srgbClr>
              </a:solidFill>
              <a:ln w="12700" cap="sq">
                <a:noFill/>
                <a:bevel/>
              </a:ln>
              <a:effectLst/>
            </c:spPr>
          </c:marker>
          <c:cat>
            <c:numRef>
              <c:f>SUPORTE!$F$2:$Q$2</c:f>
              <c:numCache>
                <c:formatCode>[$-416]mmm/yy;@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SUPORTE!$F$9:$Q$9</c:f>
              <c:numCache>
                <c:formatCode>#,##0.00</c:formatCode>
                <c:ptCount val="12"/>
                <c:pt idx="0">
                  <c:v>180000</c:v>
                </c:pt>
                <c:pt idx="1">
                  <c:v>180000</c:v>
                </c:pt>
                <c:pt idx="2">
                  <c:v>180000</c:v>
                </c:pt>
                <c:pt idx="3">
                  <c:v>180000</c:v>
                </c:pt>
                <c:pt idx="4">
                  <c:v>180000</c:v>
                </c:pt>
                <c:pt idx="5">
                  <c:v>180000</c:v>
                </c:pt>
                <c:pt idx="6">
                  <c:v>180000</c:v>
                </c:pt>
                <c:pt idx="7">
                  <c:v>180000</c:v>
                </c:pt>
                <c:pt idx="8">
                  <c:v>180000</c:v>
                </c:pt>
                <c:pt idx="9">
                  <c:v>180000</c:v>
                </c:pt>
                <c:pt idx="10">
                  <c:v>180000</c:v>
                </c:pt>
                <c:pt idx="11">
                  <c:v>180000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A15-4124-8B69-92DF001DC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15984"/>
        <c:axId val="690621648"/>
      </c:lineChart>
      <c:dateAx>
        <c:axId val="611215984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0621648"/>
        <c:crosses val="autoZero"/>
        <c:auto val="1"/>
        <c:lblOffset val="100"/>
        <c:baseTimeUnit val="months"/>
      </c:dateAx>
      <c:valAx>
        <c:axId val="69062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FAT. ÚLTIMOS 12 MESES (R$)</a:t>
                </a:r>
              </a:p>
            </c:rich>
          </c:tx>
          <c:layout>
            <c:manualLayout>
              <c:xMode val="edge"/>
              <c:yMode val="edge"/>
              <c:x val="2.0529539258945059E-2"/>
              <c:y val="0.11768616835275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1215984"/>
        <c:crosses val="autoZero"/>
        <c:crossBetween val="between"/>
      </c:valAx>
      <c:valAx>
        <c:axId val="690619568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022624"/>
        <c:crosses val="max"/>
        <c:crossBetween val="between"/>
      </c:valAx>
      <c:dateAx>
        <c:axId val="461022624"/>
        <c:scaling>
          <c:orientation val="minMax"/>
        </c:scaling>
        <c:delete val="1"/>
        <c:axPos val="b"/>
        <c:numFmt formatCode="[$-416]mmm/yy;@" sourceLinked="1"/>
        <c:majorTickMark val="out"/>
        <c:minorTickMark val="none"/>
        <c:tickLblPos val="nextTo"/>
        <c:crossAx val="6906195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54603314316635565"/>
          <c:w val="0.96810823725267237"/>
          <c:h val="0.23953652134946543"/>
        </c:manualLayout>
      </c:layout>
      <c:barChart>
        <c:barDir val="bar"/>
        <c:grouping val="stacked"/>
        <c:varyColors val="0"/>
        <c:ser>
          <c:idx val="6"/>
          <c:order val="0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00000">
                    <a:srgbClr val="1E88A6">
                      <a:alpha val="65000"/>
                    </a:srgbClr>
                  </a:gs>
                  <a:gs pos="0">
                    <a:srgbClr val="1E88A6"/>
                  </a:gs>
                </a:gsLst>
                <a:lin ang="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72-49BA-8434-3DBAED316021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72-49BA-8434-3DBAED3160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SUPORTE!$Q$11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72-49BA-8434-3DBAED316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59862096"/>
        <c:axId val="746001456"/>
      </c:barChart>
      <c:catAx>
        <c:axId val="759862096"/>
        <c:scaling>
          <c:orientation val="minMax"/>
        </c:scaling>
        <c:delete val="1"/>
        <c:axPos val="l"/>
        <c:numFmt formatCode="[$-416]mmm/\y\y;@" sourceLinked="1"/>
        <c:majorTickMark val="out"/>
        <c:minorTickMark val="none"/>
        <c:tickLblPos val="nextTo"/>
        <c:crossAx val="746001456"/>
        <c:crossesAt val="0"/>
        <c:auto val="1"/>
        <c:lblAlgn val="ctr"/>
        <c:lblOffset val="100"/>
        <c:noMultiLvlLbl val="0"/>
      </c:catAx>
      <c:valAx>
        <c:axId val="746001456"/>
        <c:scaling>
          <c:orientation val="minMax"/>
          <c:max val="1"/>
        </c:scaling>
        <c:delete val="1"/>
        <c:axPos val="b"/>
        <c:numFmt formatCode="0%" sourceLinked="0"/>
        <c:majorTickMark val="none"/>
        <c:minorTickMark val="none"/>
        <c:tickLblPos val="nextTo"/>
        <c:crossAx val="75986209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SUPORTE!$D$11</c:f>
              <c:strCache>
                <c:ptCount val="1"/>
                <c:pt idx="0">
                  <c:v>% DENTRO DA FAIXA</c:v>
                </c:pt>
              </c:strCache>
            </c:strRef>
          </c:tx>
          <c:spPr>
            <a:pattFill prst="narHorz">
              <a:fgClr>
                <a:srgbClr val="1E88A6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SUPORTE!$E$2:$P$2</c:f>
              <c:numCache>
                <c:formatCode>[$-416]mmm/yy;@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SUPORTE!$F$11:$Q$11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E-45D6-A55F-18877A866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022624"/>
        <c:axId val="690619568"/>
      </c:areaChart>
      <c:barChart>
        <c:barDir val="col"/>
        <c:grouping val="clustered"/>
        <c:varyColors val="0"/>
        <c:ser>
          <c:idx val="1"/>
          <c:order val="1"/>
          <c:tx>
            <c:strRef>
              <c:f>SUPORTE!$D$4</c:f>
              <c:strCache>
                <c:ptCount val="1"/>
                <c:pt idx="0">
                  <c:v>FATURAMENTO DOS ÚLTIMOS 12 MESES</c:v>
                </c:pt>
              </c:strCache>
            </c:strRef>
          </c:tx>
          <c:spPr>
            <a:gradFill>
              <a:gsLst>
                <a:gs pos="100000">
                  <a:srgbClr val="1E88A6"/>
                </a:gs>
                <a:gs pos="0">
                  <a:srgbClr val="79CFE7"/>
                </a:gs>
              </a:gsLst>
              <a:lin ang="2700000" scaled="0"/>
            </a:gradFill>
            <a:ln>
              <a:noFill/>
            </a:ln>
            <a:effectLst/>
          </c:spPr>
          <c:invertIfNegative val="0"/>
          <c:cat>
            <c:numRef>
              <c:f>SUPORTE!$E$2:$P$2</c:f>
              <c:numCache>
                <c:formatCode>[$-416]mmm/yy;@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SUPORTE!$F$4:$Q$4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E-45D6-A55F-18877A866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11215984"/>
        <c:axId val="690621648"/>
      </c:barChart>
      <c:lineChart>
        <c:grouping val="standard"/>
        <c:varyColors val="0"/>
        <c:ser>
          <c:idx val="2"/>
          <c:order val="2"/>
          <c:tx>
            <c:strRef>
              <c:f>SUPORTE!$D$9</c:f>
              <c:strCache>
                <c:ptCount val="1"/>
                <c:pt idx="0">
                  <c:v>LIMITE DA FAIXA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3"/>
            <c:spPr>
              <a:solidFill>
                <a:srgbClr val="1E88A6">
                  <a:alpha val="72000"/>
                </a:srgbClr>
              </a:solidFill>
              <a:ln w="12700" cap="sq">
                <a:noFill/>
                <a:bevel/>
              </a:ln>
              <a:effectLst/>
            </c:spPr>
          </c:marker>
          <c:cat>
            <c:numRef>
              <c:f>SUPORTE!$F$2:$Q$2</c:f>
              <c:numCache>
                <c:formatCode>[$-416]mmm/yy;@</c:formatCode>
                <c:ptCount val="12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</c:numCache>
            </c:numRef>
          </c:cat>
          <c:val>
            <c:numRef>
              <c:f>SUPORTE!$F$9:$Q$9</c:f>
              <c:numCache>
                <c:formatCode>#,##0.00</c:formatCode>
                <c:ptCount val="12"/>
                <c:pt idx="0">
                  <c:v>180000</c:v>
                </c:pt>
                <c:pt idx="1">
                  <c:v>180000</c:v>
                </c:pt>
                <c:pt idx="2">
                  <c:v>180000</c:v>
                </c:pt>
                <c:pt idx="3">
                  <c:v>180000</c:v>
                </c:pt>
                <c:pt idx="4">
                  <c:v>180000</c:v>
                </c:pt>
                <c:pt idx="5">
                  <c:v>180000</c:v>
                </c:pt>
                <c:pt idx="6">
                  <c:v>180000</c:v>
                </c:pt>
                <c:pt idx="7">
                  <c:v>180000</c:v>
                </c:pt>
                <c:pt idx="8">
                  <c:v>180000</c:v>
                </c:pt>
                <c:pt idx="9">
                  <c:v>180000</c:v>
                </c:pt>
                <c:pt idx="10">
                  <c:v>180000</c:v>
                </c:pt>
                <c:pt idx="11">
                  <c:v>180000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C1E-45D6-A55F-18877A866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15984"/>
        <c:axId val="690621648"/>
      </c:lineChart>
      <c:dateAx>
        <c:axId val="611215984"/>
        <c:scaling>
          <c:orientation val="minMax"/>
        </c:scaling>
        <c:delete val="0"/>
        <c:axPos val="b"/>
        <c:numFmt formatCode="[$-416]m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0621648"/>
        <c:crosses val="autoZero"/>
        <c:auto val="1"/>
        <c:lblOffset val="100"/>
        <c:baseTimeUnit val="months"/>
      </c:dateAx>
      <c:valAx>
        <c:axId val="69062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FAT. ÚLTIMOS 12 MESES (R$)</a:t>
                </a:r>
              </a:p>
            </c:rich>
          </c:tx>
          <c:layout>
            <c:manualLayout>
              <c:xMode val="edge"/>
              <c:yMode val="edge"/>
              <c:x val="2.0529539258945059E-2"/>
              <c:y val="0.11768616835275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1215984"/>
        <c:crosses val="autoZero"/>
        <c:crossBetween val="between"/>
      </c:valAx>
      <c:valAx>
        <c:axId val="690619568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1022624"/>
        <c:crosses val="max"/>
        <c:crossBetween val="between"/>
      </c:valAx>
      <c:dateAx>
        <c:axId val="461022624"/>
        <c:scaling>
          <c:orientation val="minMax"/>
        </c:scaling>
        <c:delete val="1"/>
        <c:axPos val="b"/>
        <c:numFmt formatCode="[$-416]mmm/yy;@" sourceLinked="1"/>
        <c:majorTickMark val="out"/>
        <c:minorTickMark val="none"/>
        <c:tickLblPos val="nextTo"/>
        <c:crossAx val="6906195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54603314316635565"/>
          <c:w val="0.96807512106534888"/>
          <c:h val="0.23953652134946543"/>
        </c:manualLayout>
      </c:layout>
      <c:barChart>
        <c:barDir val="bar"/>
        <c:grouping val="stacked"/>
        <c:varyColors val="0"/>
        <c:ser>
          <c:idx val="6"/>
          <c:order val="0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00000">
                    <a:srgbClr val="1E88A6">
                      <a:alpha val="65000"/>
                    </a:srgbClr>
                  </a:gs>
                  <a:gs pos="0">
                    <a:srgbClr val="1E88A6"/>
                  </a:gs>
                </a:gsLst>
                <a:lin ang="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CA-4EFC-BA75-F25CC81AFDA6}"/>
              </c:ext>
            </c:extLst>
          </c:dPt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CA-4EFC-BA75-F25CC81AFD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SUPORTE!$Q$11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CA-4EFC-BA75-F25CC81AF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59862096"/>
        <c:axId val="746001456"/>
      </c:barChart>
      <c:catAx>
        <c:axId val="759862096"/>
        <c:scaling>
          <c:orientation val="minMax"/>
        </c:scaling>
        <c:delete val="1"/>
        <c:axPos val="l"/>
        <c:numFmt formatCode="[$-416]mmm/\y\y;@" sourceLinked="1"/>
        <c:majorTickMark val="out"/>
        <c:minorTickMark val="none"/>
        <c:tickLblPos val="nextTo"/>
        <c:crossAx val="746001456"/>
        <c:crossesAt val="0"/>
        <c:auto val="1"/>
        <c:lblAlgn val="ctr"/>
        <c:lblOffset val="100"/>
        <c:noMultiLvlLbl val="0"/>
      </c:catAx>
      <c:valAx>
        <c:axId val="746001456"/>
        <c:scaling>
          <c:orientation val="minMax"/>
          <c:max val="1"/>
        </c:scaling>
        <c:delete val="1"/>
        <c:axPos val="b"/>
        <c:numFmt formatCode="0%" sourceLinked="0"/>
        <c:majorTickMark val="none"/>
        <c:minorTickMark val="none"/>
        <c:tickLblPos val="nextTo"/>
        <c:crossAx val="75986209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22" fmlaLink="SUPORTE!$B$11" fmlaRange="'Fator R'!$B$13:$B$84" sel="13" val="0"/>
</file>

<file path=xl/ctrlProps/ctrlProp10.xml><?xml version="1.0" encoding="utf-8"?>
<formControlPr xmlns="http://schemas.microsoft.com/office/spreadsheetml/2009/9/main" objectType="Drop" dropStyle="combo" dx="22" fmlaLink="SUPORTE!$B$32" fmlaRange="SUPORTE!$L$15:$L$16" sel="2" val="0"/>
</file>

<file path=xl/ctrlProps/ctrlProp11.xml><?xml version="1.0" encoding="utf-8"?>
<formControlPr xmlns="http://schemas.microsoft.com/office/spreadsheetml/2009/9/main" objectType="Drop" dropStyle="combo" dx="22" fmlaLink="SUPORTE!$B$11" fmlaRange="'Fator R'!$B$13:$B$84" noThreeD="1" sel="13" val="18"/>
</file>

<file path=xl/ctrlProps/ctrlProp12.xml><?xml version="1.0" encoding="utf-8"?>
<formControlPr xmlns="http://schemas.microsoft.com/office/spreadsheetml/2009/9/main" objectType="Drop" dropStyle="combo" dx="22" fmlaLink="SUPORTE!$B$29" fmlaRange="SUPORTE!$L$15:$L$16" sel="2" val="0"/>
</file>

<file path=xl/ctrlProps/ctrlProp13.xml><?xml version="1.0" encoding="utf-8"?>
<formControlPr xmlns="http://schemas.microsoft.com/office/spreadsheetml/2009/9/main" objectType="Drop" dropStyle="combo" dx="22" fmlaLink="SUPORTE!$B$11" fmlaRange="'Fator R'!$B$13:$B$84" noThreeD="1" sel="13" val="13"/>
</file>

<file path=xl/ctrlProps/ctrlProp14.xml><?xml version="1.0" encoding="utf-8"?>
<formControlPr xmlns="http://schemas.microsoft.com/office/spreadsheetml/2009/9/main" objectType="Drop" dropStyle="combo" dx="22" fmlaLink="SUPORTE!$B$29" fmlaRange="SUPORTE!$L$15:$L$16" sel="2" val="0"/>
</file>

<file path=xl/ctrlProps/ctrlProp15.xml><?xml version="1.0" encoding="utf-8"?>
<formControlPr xmlns="http://schemas.microsoft.com/office/spreadsheetml/2009/9/main" objectType="Drop" dropStyle="combo" dx="22" fmlaLink="SUPORTE!$B$11" fmlaRange="'Fator R'!$B$13:$B$84" noThreeD="1" sel="13" val="8"/>
</file>

<file path=xl/ctrlProps/ctrlProp16.xml><?xml version="1.0" encoding="utf-8"?>
<formControlPr xmlns="http://schemas.microsoft.com/office/spreadsheetml/2009/9/main" objectType="Drop" dropStyle="combo" dx="22" fmlaLink="SUPORTE!$B$29" fmlaRange="SUPORTE!$L$15:$L$16" sel="2" val="0"/>
</file>

<file path=xl/ctrlProps/ctrlProp2.xml><?xml version="1.0" encoding="utf-8"?>
<formControlPr xmlns="http://schemas.microsoft.com/office/spreadsheetml/2009/9/main" objectType="Drop" dropStyle="combo" dx="22" fmlaLink="SUPORTE!$B$32" fmlaRange="SUPORTE!$L$15:$L$16" sel="2" val="0"/>
</file>

<file path=xl/ctrlProps/ctrlProp3.xml><?xml version="1.0" encoding="utf-8"?>
<formControlPr xmlns="http://schemas.microsoft.com/office/spreadsheetml/2009/9/main" objectType="Drop" dropStyle="combo" dx="22" fmlaLink="SUPORTE!$B$29" fmlaRange="SUPORTE!$L$15:$L$16" sel="2" val="0"/>
</file>

<file path=xl/ctrlProps/ctrlProp4.xml><?xml version="1.0" encoding="utf-8"?>
<formControlPr xmlns="http://schemas.microsoft.com/office/spreadsheetml/2009/9/main" objectType="Drop" dropStyle="combo" dx="22" fmlaLink="SUPORTE!$B$23" fmlaRange="SUPORTE!$H$15:$H$26" sel="1" val="0"/>
</file>

<file path=xl/ctrlProps/ctrlProp5.xml><?xml version="1.0" encoding="utf-8"?>
<formControlPr xmlns="http://schemas.microsoft.com/office/spreadsheetml/2009/9/main" objectType="Drop" dropStyle="combo" dx="22" fmlaLink="SUPORTE!$B$26" fmlaRange="SUPORTE!$J$15:$J$19" sel="1" val="0"/>
</file>

<file path=xl/ctrlProps/ctrlProp6.xml><?xml version="1.0" encoding="utf-8"?>
<formControlPr xmlns="http://schemas.microsoft.com/office/spreadsheetml/2009/9/main" objectType="Drop" dropStyle="combo" dx="22" fmlaLink="SUPORTE!$B$11" fmlaRange="'Fator R'!$B$13:$B$84" noThreeD="1" sel="13" val="13"/>
</file>

<file path=xl/ctrlProps/ctrlProp7.xml><?xml version="1.0" encoding="utf-8"?>
<formControlPr xmlns="http://schemas.microsoft.com/office/spreadsheetml/2009/9/main" objectType="Drop" dropStyle="combo" dx="22" fmlaLink="SUPORTE!$B$11" fmlaRange="'Fator R'!$B$13:$B$84" noThreeD="1" sel="13" val="7"/>
</file>

<file path=xl/ctrlProps/ctrlProp8.xml><?xml version="1.0" encoding="utf-8"?>
<formControlPr xmlns="http://schemas.microsoft.com/office/spreadsheetml/2009/9/main" objectType="Drop" dropStyle="combo" dx="22" fmlaLink="SUPORTE!$B$32" fmlaRange="SUPORTE!$L$15:$L$16" sel="2" val="0"/>
</file>

<file path=xl/ctrlProps/ctrlProp9.xml><?xml version="1.0" encoding="utf-8"?>
<formControlPr xmlns="http://schemas.microsoft.com/office/spreadsheetml/2009/9/main" objectType="Drop" dropStyle="combo" dx="22" fmlaLink="SUPORTE!$B$11" fmlaRange="'Fator R'!$B$13:$B$84" noThreeD="1" sel="13" val="13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declarecontabil.com.br" TargetMode="External"/><Relationship Id="rId1" Type="http://schemas.openxmlformats.org/officeDocument/2006/relationships/hyperlink" Target="mailto:contato@declarecontabil.com.br" TargetMode="External"/><Relationship Id="rId4" Type="http://schemas.openxmlformats.org/officeDocument/2006/relationships/hyperlink" Target="#INSTRU&#199;&#213;ES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Fator R'!A1"/><Relationship Id="rId3" Type="http://schemas.openxmlformats.org/officeDocument/2006/relationships/hyperlink" Target="#'Anexo V - Servi&#231;os'!A1"/><Relationship Id="rId7" Type="http://schemas.openxmlformats.org/officeDocument/2006/relationships/hyperlink" Target="#'Anexo I - Com&#233;rcio'!A1"/><Relationship Id="rId2" Type="http://schemas.openxmlformats.org/officeDocument/2006/relationships/image" Target="../media/image2.png"/><Relationship Id="rId1" Type="http://schemas.openxmlformats.org/officeDocument/2006/relationships/hyperlink" Target="http://declarecontabil.com.br/" TargetMode="External"/><Relationship Id="rId6" Type="http://schemas.openxmlformats.org/officeDocument/2006/relationships/hyperlink" Target="#'Anexo II - Ind&#250;stria'!A1"/><Relationship Id="rId5" Type="http://schemas.openxmlformats.org/officeDocument/2006/relationships/hyperlink" Target="#'Anexo III - Servi&#231;os'!A1"/><Relationship Id="rId10" Type="http://schemas.openxmlformats.org/officeDocument/2006/relationships/image" Target="../media/image3.png"/><Relationship Id="rId4" Type="http://schemas.openxmlformats.org/officeDocument/2006/relationships/hyperlink" Target="#'Anexo IV - Servi&#231;os'!A1"/><Relationship Id="rId9" Type="http://schemas.openxmlformats.org/officeDocument/2006/relationships/hyperlink" Target="#INSTRU&#199;&#213;ES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declarecontabil.com.br/" TargetMode="External"/><Relationship Id="rId3" Type="http://schemas.openxmlformats.org/officeDocument/2006/relationships/hyperlink" Target="#'Anexo III - Servi&#231;os'!A1"/><Relationship Id="rId7" Type="http://schemas.openxmlformats.org/officeDocument/2006/relationships/hyperlink" Target="#INSTRU&#199;&#213;ES!A1"/><Relationship Id="rId2" Type="http://schemas.openxmlformats.org/officeDocument/2006/relationships/hyperlink" Target="#'Anexo IV - Servi&#231;os'!A1"/><Relationship Id="rId1" Type="http://schemas.openxmlformats.org/officeDocument/2006/relationships/hyperlink" Target="#'Anexo V - Servi&#231;os'!A1"/><Relationship Id="rId6" Type="http://schemas.openxmlformats.org/officeDocument/2006/relationships/hyperlink" Target="#'Fator R'!A1"/><Relationship Id="rId5" Type="http://schemas.openxmlformats.org/officeDocument/2006/relationships/hyperlink" Target="#'Anexo I - Com&#233;rcio'!A1"/><Relationship Id="rId4" Type="http://schemas.openxmlformats.org/officeDocument/2006/relationships/hyperlink" Target="#'Anexo II - Ind&#250;stria'!A1"/><Relationship Id="rId9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INSTRU&#199;&#213;ES!A1"/><Relationship Id="rId3" Type="http://schemas.openxmlformats.org/officeDocument/2006/relationships/hyperlink" Target="#'Anexo IV - Servi&#231;os'!A1"/><Relationship Id="rId7" Type="http://schemas.openxmlformats.org/officeDocument/2006/relationships/hyperlink" Target="#'Fator R'!A1"/><Relationship Id="rId2" Type="http://schemas.openxmlformats.org/officeDocument/2006/relationships/hyperlink" Target="#'Anexo V - Servi&#231;os'!A1"/><Relationship Id="rId1" Type="http://schemas.openxmlformats.org/officeDocument/2006/relationships/chart" Target="../charts/chart1.xml"/><Relationship Id="rId6" Type="http://schemas.openxmlformats.org/officeDocument/2006/relationships/hyperlink" Target="#'Anexo I - Com&#233;rcio'!A1"/><Relationship Id="rId11" Type="http://schemas.openxmlformats.org/officeDocument/2006/relationships/chart" Target="../charts/chart2.xml"/><Relationship Id="rId5" Type="http://schemas.openxmlformats.org/officeDocument/2006/relationships/hyperlink" Target="#'Anexo II - Ind&#250;stria'!A1"/><Relationship Id="rId10" Type="http://schemas.openxmlformats.org/officeDocument/2006/relationships/image" Target="../media/image2.png"/><Relationship Id="rId4" Type="http://schemas.openxmlformats.org/officeDocument/2006/relationships/hyperlink" Target="#'Anexo III - Servi&#231;os'!A1"/><Relationship Id="rId9" Type="http://schemas.openxmlformats.org/officeDocument/2006/relationships/hyperlink" Target="http://declarecontabil.com.br/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INSTRU&#199;&#213;ES!A1"/><Relationship Id="rId3" Type="http://schemas.openxmlformats.org/officeDocument/2006/relationships/hyperlink" Target="#'Anexo IV - Servi&#231;os'!A1"/><Relationship Id="rId7" Type="http://schemas.openxmlformats.org/officeDocument/2006/relationships/hyperlink" Target="#'Fator R'!A1"/><Relationship Id="rId2" Type="http://schemas.openxmlformats.org/officeDocument/2006/relationships/hyperlink" Target="#'Anexo V - Servi&#231;os'!A1"/><Relationship Id="rId1" Type="http://schemas.openxmlformats.org/officeDocument/2006/relationships/chart" Target="../charts/chart3.xml"/><Relationship Id="rId6" Type="http://schemas.openxmlformats.org/officeDocument/2006/relationships/hyperlink" Target="#'Anexo I - Com&#233;rcio'!A1"/><Relationship Id="rId11" Type="http://schemas.openxmlformats.org/officeDocument/2006/relationships/chart" Target="../charts/chart4.xml"/><Relationship Id="rId5" Type="http://schemas.openxmlformats.org/officeDocument/2006/relationships/hyperlink" Target="#'Anexo II - Ind&#250;stria'!A1"/><Relationship Id="rId10" Type="http://schemas.openxmlformats.org/officeDocument/2006/relationships/image" Target="../media/image2.png"/><Relationship Id="rId4" Type="http://schemas.openxmlformats.org/officeDocument/2006/relationships/hyperlink" Target="#'Anexo III - Servi&#231;os'!A1"/><Relationship Id="rId9" Type="http://schemas.openxmlformats.org/officeDocument/2006/relationships/hyperlink" Target="http://declarecontabil.com.br/" TargetMode="Externa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INSTRU&#199;&#213;ES!A1"/><Relationship Id="rId3" Type="http://schemas.openxmlformats.org/officeDocument/2006/relationships/hyperlink" Target="#'Anexo IV - Servi&#231;os'!A1"/><Relationship Id="rId7" Type="http://schemas.openxmlformats.org/officeDocument/2006/relationships/hyperlink" Target="#'Fator R'!A1"/><Relationship Id="rId2" Type="http://schemas.openxmlformats.org/officeDocument/2006/relationships/hyperlink" Target="#'Anexo V - Servi&#231;os'!A1"/><Relationship Id="rId1" Type="http://schemas.openxmlformats.org/officeDocument/2006/relationships/chart" Target="../charts/chart5.xml"/><Relationship Id="rId6" Type="http://schemas.openxmlformats.org/officeDocument/2006/relationships/hyperlink" Target="#'Anexo I - Com&#233;rcio'!A1"/><Relationship Id="rId11" Type="http://schemas.openxmlformats.org/officeDocument/2006/relationships/chart" Target="../charts/chart6.xml"/><Relationship Id="rId5" Type="http://schemas.openxmlformats.org/officeDocument/2006/relationships/hyperlink" Target="#'Anexo II - Ind&#250;stria'!A1"/><Relationship Id="rId10" Type="http://schemas.openxmlformats.org/officeDocument/2006/relationships/image" Target="../media/image2.png"/><Relationship Id="rId4" Type="http://schemas.openxmlformats.org/officeDocument/2006/relationships/hyperlink" Target="#'Anexo III - Servi&#231;os'!A1"/><Relationship Id="rId9" Type="http://schemas.openxmlformats.org/officeDocument/2006/relationships/hyperlink" Target="http://declarecontabil.com.br/" TargetMode="Externa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INSTRU&#199;&#213;ES!A1"/><Relationship Id="rId3" Type="http://schemas.openxmlformats.org/officeDocument/2006/relationships/hyperlink" Target="#'Anexo IV - Servi&#231;os'!A1"/><Relationship Id="rId7" Type="http://schemas.openxmlformats.org/officeDocument/2006/relationships/hyperlink" Target="#'Fator R'!A1"/><Relationship Id="rId2" Type="http://schemas.openxmlformats.org/officeDocument/2006/relationships/hyperlink" Target="#'Anexo V - Servi&#231;os'!A1"/><Relationship Id="rId1" Type="http://schemas.openxmlformats.org/officeDocument/2006/relationships/chart" Target="../charts/chart7.xml"/><Relationship Id="rId6" Type="http://schemas.openxmlformats.org/officeDocument/2006/relationships/hyperlink" Target="#'Anexo I - Com&#233;rcio'!A1"/><Relationship Id="rId11" Type="http://schemas.openxmlformats.org/officeDocument/2006/relationships/chart" Target="../charts/chart8.xml"/><Relationship Id="rId5" Type="http://schemas.openxmlformats.org/officeDocument/2006/relationships/hyperlink" Target="#'Anexo II - Ind&#250;stria'!A1"/><Relationship Id="rId10" Type="http://schemas.openxmlformats.org/officeDocument/2006/relationships/image" Target="../media/image2.png"/><Relationship Id="rId4" Type="http://schemas.openxmlformats.org/officeDocument/2006/relationships/hyperlink" Target="#'Anexo III - Servi&#231;os'!A1"/><Relationship Id="rId9" Type="http://schemas.openxmlformats.org/officeDocument/2006/relationships/hyperlink" Target="http://declarecontabil.com.br/" TargetMode="Externa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INSTRU&#199;&#213;ES!A1"/><Relationship Id="rId3" Type="http://schemas.openxmlformats.org/officeDocument/2006/relationships/hyperlink" Target="#'Anexo IV - Servi&#231;os'!A1"/><Relationship Id="rId7" Type="http://schemas.openxmlformats.org/officeDocument/2006/relationships/hyperlink" Target="#'Fator R'!A1"/><Relationship Id="rId2" Type="http://schemas.openxmlformats.org/officeDocument/2006/relationships/hyperlink" Target="#'Anexo V - Servi&#231;os'!A1"/><Relationship Id="rId1" Type="http://schemas.openxmlformats.org/officeDocument/2006/relationships/chart" Target="../charts/chart9.xml"/><Relationship Id="rId6" Type="http://schemas.openxmlformats.org/officeDocument/2006/relationships/hyperlink" Target="#'Anexo I - Com&#233;rcio'!A1"/><Relationship Id="rId11" Type="http://schemas.openxmlformats.org/officeDocument/2006/relationships/chart" Target="../charts/chart10.xml"/><Relationship Id="rId5" Type="http://schemas.openxmlformats.org/officeDocument/2006/relationships/hyperlink" Target="#'Anexo II - Ind&#250;stria'!A1"/><Relationship Id="rId10" Type="http://schemas.openxmlformats.org/officeDocument/2006/relationships/image" Target="../media/image2.png"/><Relationship Id="rId4" Type="http://schemas.openxmlformats.org/officeDocument/2006/relationships/hyperlink" Target="#'Anexo III - Servi&#231;os'!A1"/><Relationship Id="rId9" Type="http://schemas.openxmlformats.org/officeDocument/2006/relationships/hyperlink" Target="http://declarecontabil.com.br/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247650</xdr:colOff>
      <xdr:row>0</xdr:row>
      <xdr:rowOff>0</xdr:rowOff>
    </xdr:from>
    <xdr:to>
      <xdr:col>2</xdr:col>
      <xdr:colOff>114301</xdr:colOff>
      <xdr:row>21</xdr:row>
      <xdr:rowOff>9525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857250" y="0"/>
          <a:ext cx="476251" cy="4238625"/>
        </a:xfrm>
        <a:prstGeom prst="line">
          <a:avLst/>
        </a:prstGeom>
        <a:ln>
          <a:solidFill>
            <a:srgbClr val="4091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304800</xdr:colOff>
      <xdr:row>0</xdr:row>
      <xdr:rowOff>0</xdr:rowOff>
    </xdr:from>
    <xdr:to>
      <xdr:col>4</xdr:col>
      <xdr:colOff>0</xdr:colOff>
      <xdr:row>15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304800" y="0"/>
          <a:ext cx="2133600" cy="2857500"/>
        </a:xfrm>
        <a:prstGeom prst="line">
          <a:avLst/>
        </a:prstGeom>
        <a:ln>
          <a:solidFill>
            <a:srgbClr val="4091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304800</xdr:colOff>
      <xdr:row>0</xdr:row>
      <xdr:rowOff>0</xdr:rowOff>
    </xdr:from>
    <xdr:to>
      <xdr:col>13</xdr:col>
      <xdr:colOff>0</xdr:colOff>
      <xdr:row>15</xdr:row>
      <xdr:rowOff>0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304800" y="0"/>
          <a:ext cx="7620000" cy="2857500"/>
        </a:xfrm>
        <a:prstGeom prst="line">
          <a:avLst/>
        </a:prstGeom>
        <a:ln>
          <a:solidFill>
            <a:srgbClr val="4091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0</xdr:colOff>
      <xdr:row>0</xdr:row>
      <xdr:rowOff>0</xdr:rowOff>
    </xdr:from>
    <xdr:to>
      <xdr:col>7</xdr:col>
      <xdr:colOff>0</xdr:colOff>
      <xdr:row>4</xdr:row>
      <xdr:rowOff>0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3048000" y="0"/>
          <a:ext cx="1219200" cy="762000"/>
        </a:xfrm>
        <a:prstGeom prst="line">
          <a:avLst/>
        </a:prstGeom>
        <a:ln>
          <a:solidFill>
            <a:srgbClr val="4091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0</xdr:colOff>
      <xdr:row>0</xdr:row>
      <xdr:rowOff>0</xdr:rowOff>
    </xdr:from>
    <xdr:to>
      <xdr:col>6</xdr:col>
      <xdr:colOff>0</xdr:colOff>
      <xdr:row>4</xdr:row>
      <xdr:rowOff>0</xdr:rowOff>
    </xdr:to>
    <xdr:cxnSp macro="">
      <xdr:nvCxnSpPr>
        <xdr:cNvPr id="16" name="Conector re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3048000" y="0"/>
          <a:ext cx="609600" cy="762000"/>
        </a:xfrm>
        <a:prstGeom prst="line">
          <a:avLst/>
        </a:prstGeom>
        <a:ln>
          <a:solidFill>
            <a:srgbClr val="4091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12</xdr:col>
      <xdr:colOff>0</xdr:colOff>
      <xdr:row>0</xdr:row>
      <xdr:rowOff>0</xdr:rowOff>
    </xdr:from>
    <xdr:to>
      <xdr:col>16</xdr:col>
      <xdr:colOff>0</xdr:colOff>
      <xdr:row>20</xdr:row>
      <xdr:rowOff>0</xdr:rowOff>
    </xdr:to>
    <xdr:cxnSp macro="">
      <xdr:nvCxnSpPr>
        <xdr:cNvPr id="22" name="Conector re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7315200" y="0"/>
          <a:ext cx="2438400" cy="3810000"/>
        </a:xfrm>
        <a:prstGeom prst="line">
          <a:avLst/>
        </a:prstGeom>
        <a:ln>
          <a:solidFill>
            <a:srgbClr val="4091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13</xdr:col>
      <xdr:colOff>0</xdr:colOff>
      <xdr:row>0</xdr:row>
      <xdr:rowOff>0</xdr:rowOff>
    </xdr:from>
    <xdr:to>
      <xdr:col>14</xdr:col>
      <xdr:colOff>0</xdr:colOff>
      <xdr:row>22</xdr:row>
      <xdr:rowOff>0</xdr:rowOff>
    </xdr:to>
    <xdr:cxnSp macro="">
      <xdr:nvCxnSpPr>
        <xdr:cNvPr id="24" name="Conector re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H="1">
          <a:off x="7924800" y="0"/>
          <a:ext cx="609600" cy="4191000"/>
        </a:xfrm>
        <a:prstGeom prst="line">
          <a:avLst/>
        </a:prstGeom>
        <a:ln>
          <a:solidFill>
            <a:srgbClr val="4091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12</xdr:col>
      <xdr:colOff>1</xdr:colOff>
      <xdr:row>0</xdr:row>
      <xdr:rowOff>0</xdr:rowOff>
    </xdr:from>
    <xdr:to>
      <xdr:col>19</xdr:col>
      <xdr:colOff>0</xdr:colOff>
      <xdr:row>21</xdr:row>
      <xdr:rowOff>0</xdr:rowOff>
    </xdr:to>
    <xdr:cxnSp macro="">
      <xdr:nvCxnSpPr>
        <xdr:cNvPr id="28" name="Conector re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7315201" y="0"/>
          <a:ext cx="4267199" cy="4000500"/>
        </a:xfrm>
        <a:prstGeom prst="line">
          <a:avLst/>
        </a:prstGeom>
        <a:ln>
          <a:solidFill>
            <a:srgbClr val="4091B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606178</xdr:colOff>
      <xdr:row>18</xdr:row>
      <xdr:rowOff>134714</xdr:rowOff>
    </xdr:from>
    <xdr:to>
      <xdr:col>11</xdr:col>
      <xdr:colOff>479673</xdr:colOff>
      <xdr:row>21</xdr:row>
      <xdr:rowOff>0</xdr:rowOff>
    </xdr:to>
    <xdr:sp macro="" textlink="">
      <xdr:nvSpPr>
        <xdr:cNvPr id="31" name="CaixaDeTexto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654178" y="3563714"/>
          <a:ext cx="353109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0" i="0" cap="all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RUA FRANCISCO ROCHA, 198 . BATEL . CURITIBA . PARANÁ</a:t>
          </a:r>
        </a:p>
        <a:p>
          <a:r>
            <a:rPr lang="pt-BR" sz="1100" b="1" i="0" cap="all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41 98895.7569 . CONTATO@DECLARECONTABIL.COM.BR</a:t>
          </a:r>
        </a:p>
      </xdr:txBody>
    </xdr:sp>
    <xdr:clientData/>
  </xdr:twoCellAnchor>
  <xdr:twoCellAnchor editAs="absolute">
    <xdr:from>
      <xdr:col>5</xdr:col>
      <xdr:colOff>542925</xdr:colOff>
      <xdr:row>6</xdr:row>
      <xdr:rowOff>0</xdr:rowOff>
    </xdr:from>
    <xdr:to>
      <xdr:col>11</xdr:col>
      <xdr:colOff>542925</xdr:colOff>
      <xdr:row>11</xdr:row>
      <xdr:rowOff>102402</xdr:rowOff>
    </xdr:to>
    <xdr:pic>
      <xdr:nvPicPr>
        <xdr:cNvPr id="34" name="Imagem 3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1143000"/>
          <a:ext cx="3657600" cy="1054902"/>
        </a:xfrm>
        <a:prstGeom prst="rect">
          <a:avLst/>
        </a:prstGeom>
      </xdr:spPr>
    </xdr:pic>
    <xdr:clientData/>
  </xdr:twoCellAnchor>
  <xdr:twoCellAnchor editAs="absolute">
    <xdr:from>
      <xdr:col>7</xdr:col>
      <xdr:colOff>542925</xdr:colOff>
      <xdr:row>14</xdr:row>
      <xdr:rowOff>0</xdr:rowOff>
    </xdr:from>
    <xdr:to>
      <xdr:col>10</xdr:col>
      <xdr:colOff>0</xdr:colOff>
      <xdr:row>16</xdr:row>
      <xdr:rowOff>0</xdr:rowOff>
    </xdr:to>
    <xdr:sp macro="" textlink="">
      <xdr:nvSpPr>
        <xdr:cNvPr id="12" name="Botão Instruçõe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810125" y="2895600"/>
          <a:ext cx="1285875" cy="381000"/>
        </a:xfrm>
        <a:prstGeom prst="roundRect">
          <a:avLst/>
        </a:prstGeom>
        <a:solidFill>
          <a:srgbClr val="43525B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/>
            <a:t>COMEÇAR</a:t>
          </a:r>
        </a:p>
      </xdr:txBody>
    </xdr:sp>
    <xdr:clientData/>
  </xdr:twoCellAnchor>
  <xdr:twoCellAnchor editAs="absolute">
    <xdr:from>
      <xdr:col>0</xdr:col>
      <xdr:colOff>238125</xdr:colOff>
      <xdr:row>1</xdr:row>
      <xdr:rowOff>0</xdr:rowOff>
    </xdr:from>
    <xdr:to>
      <xdr:col>17</xdr:col>
      <xdr:colOff>238125</xdr:colOff>
      <xdr:row>4</xdr:row>
      <xdr:rowOff>190500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8125" y="190500"/>
          <a:ext cx="103632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3200" b="1" i="0">
              <a:solidFill>
                <a:schemeClr val="bg1"/>
              </a:solidFill>
              <a:latin typeface="+mn-lt"/>
              <a:cs typeface="Times New Roman" panose="02020603050405020304" pitchFamily="18" charset="0"/>
            </a:rPr>
            <a:t>Planilha</a:t>
          </a:r>
          <a:r>
            <a:rPr lang="pt-BR" sz="3200" b="1" i="0" baseline="0">
              <a:solidFill>
                <a:schemeClr val="bg1"/>
              </a:solidFill>
              <a:latin typeface="+mn-lt"/>
              <a:cs typeface="Times New Roman" panose="02020603050405020304" pitchFamily="18" charset="0"/>
            </a:rPr>
            <a:t> de Cálculo Simples Nacional 2018</a:t>
          </a:r>
          <a:endParaRPr lang="pt-BR" sz="3200" b="1" i="0">
            <a:solidFill>
              <a:schemeClr val="bg1"/>
            </a:solidFill>
            <a:latin typeface="+mn-lt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2240</xdr:rowOff>
    </xdr:from>
    <xdr:to>
      <xdr:col>14</xdr:col>
      <xdr:colOff>0</xdr:colOff>
      <xdr:row>98</xdr:row>
      <xdr:rowOff>22412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0" y="851646"/>
          <a:ext cx="7978588" cy="18187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50000"/>
            </a:lnSpc>
            <a:spcAft>
              <a:spcPts val="1800"/>
            </a:spcAft>
          </a:pPr>
          <a:r>
            <a:rPr lang="pt-BR" sz="1800" b="1" spc="100" baseline="0">
              <a:solidFill>
                <a:srgbClr val="3C88A6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Instruções de Uso</a:t>
          </a:r>
          <a:endParaRPr lang="pt-BR" sz="1800" spc="100" baseline="0">
            <a:solidFill>
              <a:srgbClr val="3C88A6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>
            <a:lnSpc>
              <a:spcPct val="150000"/>
            </a:lnSpc>
            <a:spcAft>
              <a:spcPts val="1800"/>
            </a:spcAft>
          </a:pP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Desde Janeiro de 2018 a forma de calcular o Simples Nacional mudou. </a:t>
          </a:r>
        </a:p>
        <a:p>
          <a:pPr algn="just">
            <a:lnSpc>
              <a:spcPct val="150000"/>
            </a:lnSpc>
            <a:spcAft>
              <a:spcPts val="1800"/>
            </a:spcAft>
          </a:pP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Nessa planilha, você poderá </a:t>
          </a:r>
          <a:r>
            <a:rPr lang="pt-BR" sz="1150" b="1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simular o cálculo do Simples Nacional 2018</a:t>
          </a: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encontrando sua faixa de faturamento, alíquota efetiva e estimativa de valor a pagar. Nós da </a:t>
          </a:r>
          <a:r>
            <a:rPr lang="pt-BR" sz="1150" b="1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Declare Contábil</a:t>
          </a: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acreditamos que a contabilidade é uma ferramenta essencial na gestão financeira das empresas, e desejamos que essa planilha possa ajudar você (empreendedor) a entender as mudanças no regime tributário das Micro e Pequenas Empresas. </a:t>
          </a:r>
        </a:p>
        <a:p>
          <a:pPr algn="just">
            <a:lnSpc>
              <a:spcPct val="150000"/>
            </a:lnSpc>
            <a:spcAft>
              <a:spcPts val="1800"/>
            </a:spcAft>
          </a:pPr>
          <a:r>
            <a:rPr lang="pt-BR" sz="1150" b="1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Antes de começar</a:t>
          </a: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você precisa conhecer os seguintes dados:</a:t>
          </a:r>
        </a:p>
        <a:p>
          <a:pPr marL="228600" indent="-228600" algn="just">
            <a:lnSpc>
              <a:spcPct val="150000"/>
            </a:lnSpc>
            <a:spcAft>
              <a:spcPts val="1800"/>
            </a:spcAft>
            <a:buFont typeface="+mj-lt"/>
            <a:buAutoNum type="arabicPeriod"/>
          </a:pP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Anexo da sua(s) atividade(s). Consulte </a:t>
          </a:r>
          <a:r>
            <a:rPr lang="pt-BR" sz="1150" b="1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seu contador</a:t>
          </a: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para confirmar o enquadramento da sua atividade no Anexo correspondente. Seu contador poderá consultar a legislação atual com a relação completa das atividades e confirmar o Anexo correspondente da(s) sua(s) atividade(s). </a:t>
          </a:r>
          <a:r>
            <a:rPr lang="pt-BR" sz="1150" b="1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Anote seu Anexo(s) e utilize a planilha em cada anexo que precisar</a:t>
          </a: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</a:t>
          </a:r>
        </a:p>
        <a:p>
          <a:pPr marL="228600" marR="0" lvl="0" indent="-228600" algn="just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1800"/>
            </a:spcAft>
            <a:buClrTx/>
            <a:buSzTx/>
            <a:buFont typeface="+mj-lt"/>
            <a:buAutoNum type="arabicPeriod"/>
            <a:tabLst/>
            <a:defRPr/>
          </a:pPr>
          <a:r>
            <a:rPr kumimoji="0" lang="pt-BR" sz="1150" b="0" i="0" u="none" strike="noStrike" kern="0" cap="none" spc="10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Verifique se sua empresa encontra-se em </a:t>
          </a:r>
          <a:r>
            <a:rPr kumimoji="0" lang="pt-BR" sz="1150" b="1" i="0" u="none" strike="noStrike" kern="0" cap="none" spc="10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início de atividade</a:t>
          </a:r>
          <a:r>
            <a:rPr kumimoji="0" lang="pt-BR" sz="1150" b="0" i="0" u="none" strike="noStrike" kern="0" cap="none" spc="10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consultando a data de abertura da sua empresa (a mesma data que consta no seu cnpj). Terá uma regra de cálculo especifica para empresas em início de atividade, </a:t>
          </a:r>
          <a:r>
            <a:rPr kumimoji="0" lang="pt-BR" sz="1150" b="1" i="0" u="none" strike="noStrike" kern="0" cap="none" spc="10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empresa com menos de 12 meses</a:t>
          </a:r>
          <a:r>
            <a:rPr kumimoji="0" lang="pt-BR" sz="1150" b="0" i="0" u="none" strike="noStrike" kern="0" cap="none" spc="10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;</a:t>
          </a:r>
        </a:p>
        <a:p>
          <a:pPr marL="228600" indent="-228600" algn="just">
            <a:lnSpc>
              <a:spcPct val="150000"/>
            </a:lnSpc>
            <a:spcAft>
              <a:spcPts val="1800"/>
            </a:spcAft>
            <a:buFont typeface="+mj-lt"/>
            <a:buAutoNum type="arabicPeriod"/>
          </a:pP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 a atividade da sua empresa for do </a:t>
          </a:r>
          <a:r>
            <a:rPr lang="pt-BR" sz="1150" b="1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Anexo I (Comércio) </a:t>
          </a: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ou</a:t>
          </a:r>
          <a:r>
            <a:rPr lang="pt-BR" sz="1150" b="1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Anexo II (Indústria),</a:t>
          </a: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consulte </a:t>
          </a:r>
          <a:r>
            <a:rPr lang="pt-BR" sz="1150" b="1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seu contador</a:t>
          </a: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para confirmar se em seu Estado possui algum incentivo de isenção de ICMS para empresas do Simples Nacional com faturamento até R$ 360 mil. Caso seu Estado possua redução do ICMS para faturamento acima desse valor a planilha </a:t>
          </a:r>
          <a:r>
            <a:rPr lang="pt-BR" sz="1150" b="1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não irá calcular essa redução que varia de Estado para Estado</a:t>
          </a: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228600" marR="0" lvl="0" indent="-228600" algn="just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1800"/>
            </a:spcAft>
            <a:buClrTx/>
            <a:buSzTx/>
            <a:buFont typeface="+mj-lt"/>
            <a:buAutoNum type="arabicPeriod"/>
            <a:tabLst/>
            <a:defRPr/>
          </a:pPr>
          <a:r>
            <a:rPr lang="pt-BR" sz="1150" spc="10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 a atividade da sua empresa for do </a:t>
          </a:r>
          <a:r>
            <a:rPr lang="pt-BR" sz="1150" b="1" spc="10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Anexo III</a:t>
          </a:r>
          <a:r>
            <a:rPr lang="pt-BR" sz="1150" spc="10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</a:t>
          </a:r>
          <a:r>
            <a:rPr lang="pt-BR" sz="1150" b="1" spc="10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Anexo IV </a:t>
          </a:r>
          <a:r>
            <a:rPr lang="pt-BR" sz="1150" spc="10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ou </a:t>
          </a:r>
          <a:r>
            <a:rPr lang="pt-BR" sz="1150" b="1" spc="10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Anexo V</a:t>
          </a:r>
          <a:r>
            <a:rPr lang="pt-BR" sz="1150" spc="10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(todos de Serviços), consulte </a:t>
          </a:r>
          <a:r>
            <a:rPr lang="pt-BR" sz="1150" b="1" spc="10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seu contador</a:t>
          </a:r>
          <a:r>
            <a:rPr lang="pt-BR" sz="1150" spc="10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 para confirmar se sua atividade tem retenção do ISS na fonte e informe Sim ou Não no campo solicitado.</a:t>
          </a:r>
        </a:p>
        <a:p>
          <a:pPr marL="228600" indent="-228600" algn="just">
            <a:lnSpc>
              <a:spcPct val="150000"/>
            </a:lnSpc>
            <a:spcAft>
              <a:spcPts val="1800"/>
            </a:spcAft>
            <a:buFont typeface="+mj-lt"/>
            <a:buAutoNum type="arabicPeriod"/>
          </a:pP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 a atividade da sua empresa for do </a:t>
          </a:r>
          <a:r>
            <a:rPr lang="pt-BR" sz="1150" b="1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Anexo V</a:t>
          </a: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(</a:t>
          </a:r>
          <a:r>
            <a:rPr lang="pt-BR" sz="1150" b="1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Serviços</a:t>
          </a: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 será necessário ter em mãos a </a:t>
          </a:r>
          <a:r>
            <a:rPr lang="pt-BR" sz="1150" b="1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folha de pagamento mensal</a:t>
          </a: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da sua empresa (para calcular o </a:t>
          </a:r>
          <a:r>
            <a:rPr lang="pt-BR" sz="1150" b="1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Fator R -</a:t>
          </a: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relação da folha de pagamento versus faturamento dos últimos 12 meses). Os demais Anexos* não será necessária a informação da folha de pagamento, com exceção de </a:t>
          </a:r>
          <a:r>
            <a:rPr lang="pt-BR" sz="1150" b="1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algumas atividades</a:t>
          </a: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relacionadas no </a:t>
          </a:r>
          <a:r>
            <a:rPr lang="pt-BR" sz="1150" b="1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Anexo III</a:t>
          </a: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;</a:t>
          </a:r>
        </a:p>
        <a:p>
          <a:pPr marL="228600" indent="-228600" algn="just">
            <a:lnSpc>
              <a:spcPct val="150000"/>
            </a:lnSpc>
            <a:spcAft>
              <a:spcPts val="1800"/>
            </a:spcAft>
            <a:buFont typeface="+mj-lt"/>
            <a:buAutoNum type="arabicPeriod"/>
          </a:pP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Para empresas com 12 meses de existência ou mais, identifique e informe no seu Anexo (ou Anexos) o </a:t>
          </a:r>
          <a:r>
            <a:rPr lang="pt-BR" sz="1150" b="1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faturamento (receita) mensal dos últimos 12 meses</a:t>
          </a: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;</a:t>
          </a:r>
        </a:p>
        <a:p>
          <a:pPr algn="just">
            <a:lnSpc>
              <a:spcPct val="150000"/>
            </a:lnSpc>
            <a:spcAft>
              <a:spcPts val="1800"/>
            </a:spcAft>
          </a:pP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Cada uma dessas informações que escrevemos até aqui terá impacto sobre a alíquota e valor que sua empresa vai pagar de imposto mês a mês.</a:t>
          </a:r>
        </a:p>
        <a:p>
          <a:pPr algn="just">
            <a:lnSpc>
              <a:spcPct val="150000"/>
            </a:lnSpc>
            <a:spcAft>
              <a:spcPts val="1800"/>
            </a:spcAft>
          </a:pPr>
          <a:r>
            <a:rPr lang="pt-BR" sz="120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 planilha da </a:t>
          </a:r>
          <a:r>
            <a:rPr lang="pt-BR" sz="1200" b="1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Declare Contábil</a:t>
          </a:r>
          <a:r>
            <a:rPr lang="pt-BR" sz="120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permite realizar cálculos para você (empreendedor) possa ter uma </a:t>
          </a:r>
          <a:r>
            <a:rPr lang="pt-BR" sz="1200" b="1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análise prática</a:t>
          </a:r>
          <a:r>
            <a:rPr lang="pt-BR" sz="120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como ficou o </a:t>
          </a:r>
          <a:r>
            <a:rPr lang="pt-BR" sz="1200" b="1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Simples Nacional 2018.</a:t>
          </a:r>
        </a:p>
        <a:p>
          <a:pPr algn="just">
            <a:lnSpc>
              <a:spcPct val="150000"/>
            </a:lnSpc>
            <a:spcAft>
              <a:spcPts val="1800"/>
            </a:spcAft>
          </a:pPr>
          <a:endParaRPr lang="pt-BR" sz="1200" b="1" spc="100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>
            <a:lnSpc>
              <a:spcPct val="150000"/>
            </a:lnSpc>
            <a:spcAft>
              <a:spcPts val="1800"/>
            </a:spcAft>
          </a:pPr>
          <a:endParaRPr lang="pt-BR" sz="1200" b="1" spc="100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>
            <a:lnSpc>
              <a:spcPct val="150000"/>
            </a:lnSpc>
            <a:spcAft>
              <a:spcPts val="1800"/>
            </a:spcAft>
          </a:pPr>
          <a:endParaRPr lang="pt-BR" sz="1200" spc="100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1800"/>
            </a:spcAft>
            <a:buClrTx/>
            <a:buSzTx/>
            <a:buFontTx/>
            <a:buNone/>
            <a:tabLst/>
            <a:defRPr/>
          </a:pPr>
          <a:endParaRPr kumimoji="0" lang="pt-BR" sz="1800" b="1" i="0" u="none" strike="noStrike" kern="0" cap="none" spc="100" normalizeH="0" baseline="0" noProof="0">
            <a:ln>
              <a:noFill/>
            </a:ln>
            <a:solidFill>
              <a:srgbClr val="3C88A6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1800"/>
            </a:spcAft>
            <a:buClrTx/>
            <a:buSzTx/>
            <a:buFontTx/>
            <a:buNone/>
            <a:tabLst/>
            <a:defRPr/>
          </a:pPr>
          <a:r>
            <a:rPr kumimoji="0" lang="pt-BR" sz="1800" b="1" i="0" u="none" strike="noStrike" kern="0" cap="none" spc="100" normalizeH="0" baseline="0" noProof="0">
              <a:ln>
                <a:noFill/>
              </a:ln>
              <a:solidFill>
                <a:srgbClr val="3C88A6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Preenchimento da Planilha</a:t>
          </a:r>
          <a:endParaRPr kumimoji="0" lang="pt-BR" sz="1800" b="0" i="0" u="none" strike="noStrike" kern="0" cap="none" spc="100" normalizeH="0" baseline="0" noProof="0">
            <a:ln>
              <a:noFill/>
            </a:ln>
            <a:solidFill>
              <a:srgbClr val="3C88A6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228600" indent="-228600" algn="just">
            <a:lnSpc>
              <a:spcPct val="150000"/>
            </a:lnSpc>
            <a:spcAft>
              <a:spcPts val="1800"/>
            </a:spcAft>
            <a:buFont typeface="+mj-lt"/>
            <a:buAutoNum type="arabicPeriod"/>
          </a:pP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Para começar, preencha primeiro as informações ao lado (CONFIGURAÇÃO INICIAL).</a:t>
          </a:r>
        </a:p>
        <a:p>
          <a:pPr marL="228600" indent="-228600" algn="just">
            <a:lnSpc>
              <a:spcPct val="150000"/>
            </a:lnSpc>
            <a:spcAft>
              <a:spcPts val="1800"/>
            </a:spcAft>
            <a:buFont typeface="+mj-lt"/>
            <a:buAutoNum type="arabicPeriod"/>
          </a:pPr>
          <a:r>
            <a:rPr lang="pt-BR" sz="115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Após entrar no seu Anexo, preencha os valores mensais do faturamento. Mesmo que você utilize mais de um Anexo a planilha irá calcular o faturamento dos últimos 12 meses considerando a soma de todos os anexos. Os meses considerados para o cálculo estarão marcados com uma borda vermelha.</a:t>
          </a:r>
          <a:endParaRPr lang="pt-BR" sz="1200" spc="100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228600" indent="-228600" algn="just">
            <a:lnSpc>
              <a:spcPct val="150000"/>
            </a:lnSpc>
            <a:spcAft>
              <a:spcPts val="1800"/>
            </a:spcAft>
            <a:buFont typeface="+mj-lt"/>
            <a:buAutoNum type="arabicPeriod"/>
          </a:pPr>
          <a:r>
            <a:rPr lang="pt-BR" sz="1200" spc="1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Caso ainda tenha dúvidas sobre o preenchimento, entre em contato conosco.</a:t>
          </a:r>
        </a:p>
        <a:p>
          <a:pPr>
            <a:spcAft>
              <a:spcPts val="1200"/>
            </a:spcAft>
          </a:pPr>
          <a:endParaRPr lang="pt-BR" sz="1050" spc="1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absolute">
    <xdr:from>
      <xdr:col>1</xdr:col>
      <xdr:colOff>0</xdr:colOff>
      <xdr:row>0</xdr:row>
      <xdr:rowOff>504825</xdr:rowOff>
    </xdr:from>
    <xdr:to>
      <xdr:col>21</xdr:col>
      <xdr:colOff>200025</xdr:colOff>
      <xdr:row>1</xdr:row>
      <xdr:rowOff>9525</xdr:rowOff>
    </xdr:to>
    <xdr:cxnSp macro="">
      <xdr:nvCxnSpPr>
        <xdr:cNvPr id="5" name="Linha Títul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 flipV="1">
          <a:off x="381000" y="504825"/>
          <a:ext cx="12496800" cy="19050"/>
        </a:xfrm>
        <a:prstGeom prst="line">
          <a:avLst/>
        </a:prstGeom>
        <a:ln w="38100">
          <a:solidFill>
            <a:srgbClr val="3C88A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18</xdr:col>
      <xdr:colOff>561975</xdr:colOff>
      <xdr:row>0</xdr:row>
      <xdr:rowOff>0</xdr:rowOff>
    </xdr:from>
    <xdr:to>
      <xdr:col>21</xdr:col>
      <xdr:colOff>50603</xdr:colOff>
      <xdr:row>1</xdr:row>
      <xdr:rowOff>0</xdr:rowOff>
    </xdr:to>
    <xdr:pic>
      <xdr:nvPicPr>
        <xdr:cNvPr id="14" name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0950" y="0"/>
          <a:ext cx="1317428" cy="51435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96</xdr:row>
      <xdr:rowOff>33618</xdr:rowOff>
    </xdr:from>
    <xdr:to>
      <xdr:col>21</xdr:col>
      <xdr:colOff>200025</xdr:colOff>
      <xdr:row>96</xdr:row>
      <xdr:rowOff>53789</xdr:rowOff>
    </xdr:to>
    <xdr:cxnSp macro="">
      <xdr:nvCxnSpPr>
        <xdr:cNvPr id="18" name="Linha Títul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H="1" flipV="1">
          <a:off x="381000" y="18669000"/>
          <a:ext cx="12414437" cy="20171"/>
        </a:xfrm>
        <a:prstGeom prst="line">
          <a:avLst/>
        </a:prstGeom>
        <a:ln w="38100">
          <a:solidFill>
            <a:srgbClr val="3C88A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11</xdr:col>
      <xdr:colOff>142875</xdr:colOff>
      <xdr:row>96</xdr:row>
      <xdr:rowOff>44264</xdr:rowOff>
    </xdr:from>
    <xdr:to>
      <xdr:col>12</xdr:col>
      <xdr:colOff>581026</xdr:colOff>
      <xdr:row>98</xdr:row>
      <xdr:rowOff>4520</xdr:rowOff>
    </xdr:to>
    <xdr:sp macro="" textlink="">
      <xdr:nvSpPr>
        <xdr:cNvPr id="19" name="Botão Anexo V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6687110" y="18679646"/>
          <a:ext cx="1043269" cy="336176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V</a:t>
          </a:r>
        </a:p>
      </xdr:txBody>
    </xdr:sp>
    <xdr:clientData/>
  </xdr:twoCellAnchor>
  <xdr:twoCellAnchor editAs="absolute">
    <xdr:from>
      <xdr:col>9</xdr:col>
      <xdr:colOff>304800</xdr:colOff>
      <xdr:row>96</xdr:row>
      <xdr:rowOff>44264</xdr:rowOff>
    </xdr:from>
    <xdr:to>
      <xdr:col>11</xdr:col>
      <xdr:colOff>133351</xdr:colOff>
      <xdr:row>98</xdr:row>
      <xdr:rowOff>4520</xdr:rowOff>
    </xdr:to>
    <xdr:sp macro="" textlink="">
      <xdr:nvSpPr>
        <xdr:cNvPr id="20" name="Botão Anexo IV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638800" y="18679646"/>
          <a:ext cx="1038786" cy="336176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IV</a:t>
          </a:r>
        </a:p>
      </xdr:txBody>
    </xdr:sp>
    <xdr:clientData/>
  </xdr:twoCellAnchor>
  <xdr:twoCellAnchor editAs="absolute">
    <xdr:from>
      <xdr:col>7</xdr:col>
      <xdr:colOff>466725</xdr:colOff>
      <xdr:row>96</xdr:row>
      <xdr:rowOff>44264</xdr:rowOff>
    </xdr:from>
    <xdr:to>
      <xdr:col>9</xdr:col>
      <xdr:colOff>295276</xdr:colOff>
      <xdr:row>98</xdr:row>
      <xdr:rowOff>4520</xdr:rowOff>
    </xdr:to>
    <xdr:sp macro="" textlink="">
      <xdr:nvSpPr>
        <xdr:cNvPr id="21" name="Botão Anexo III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4590490" y="18679646"/>
          <a:ext cx="1038786" cy="336176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III</a:t>
          </a:r>
        </a:p>
      </xdr:txBody>
    </xdr:sp>
    <xdr:clientData/>
  </xdr:twoCellAnchor>
  <xdr:twoCellAnchor editAs="absolute">
    <xdr:from>
      <xdr:col>6</xdr:col>
      <xdr:colOff>19050</xdr:colOff>
      <xdr:row>96</xdr:row>
      <xdr:rowOff>44264</xdr:rowOff>
    </xdr:from>
    <xdr:to>
      <xdr:col>7</xdr:col>
      <xdr:colOff>457201</xdr:colOff>
      <xdr:row>98</xdr:row>
      <xdr:rowOff>4520</xdr:rowOff>
    </xdr:to>
    <xdr:sp macro="" textlink="">
      <xdr:nvSpPr>
        <xdr:cNvPr id="22" name="Botão Anexo II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537697" y="18679646"/>
          <a:ext cx="1043269" cy="336176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II</a:t>
          </a:r>
        </a:p>
      </xdr:txBody>
    </xdr:sp>
    <xdr:clientData/>
  </xdr:twoCellAnchor>
  <xdr:twoCellAnchor editAs="absolute">
    <xdr:from>
      <xdr:col>4</xdr:col>
      <xdr:colOff>180975</xdr:colOff>
      <xdr:row>96</xdr:row>
      <xdr:rowOff>44264</xdr:rowOff>
    </xdr:from>
    <xdr:to>
      <xdr:col>6</xdr:col>
      <xdr:colOff>9526</xdr:colOff>
      <xdr:row>98</xdr:row>
      <xdr:rowOff>4520</xdr:rowOff>
    </xdr:to>
    <xdr:sp macro="" textlink="">
      <xdr:nvSpPr>
        <xdr:cNvPr id="23" name="Botão Anexo I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489387" y="18679646"/>
          <a:ext cx="1038786" cy="336176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</a:t>
          </a:r>
        </a:p>
      </xdr:txBody>
    </xdr:sp>
    <xdr:clientData/>
  </xdr:twoCellAnchor>
  <xdr:twoCellAnchor editAs="absolute">
    <xdr:from>
      <xdr:col>2</xdr:col>
      <xdr:colOff>447675</xdr:colOff>
      <xdr:row>96</xdr:row>
      <xdr:rowOff>44264</xdr:rowOff>
    </xdr:from>
    <xdr:to>
      <xdr:col>4</xdr:col>
      <xdr:colOff>171451</xdr:colOff>
      <xdr:row>98</xdr:row>
      <xdr:rowOff>4520</xdr:rowOff>
    </xdr:to>
    <xdr:sp macro="" textlink="">
      <xdr:nvSpPr>
        <xdr:cNvPr id="24" name="Botão Fator R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433793" y="18679646"/>
          <a:ext cx="1046070" cy="336176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FATOR R</a:t>
          </a:r>
        </a:p>
      </xdr:txBody>
    </xdr:sp>
    <xdr:clientData/>
  </xdr:twoCellAnchor>
  <xdr:twoCellAnchor editAs="absolute">
    <xdr:from>
      <xdr:col>1</xdr:col>
      <xdr:colOff>0</xdr:colOff>
      <xdr:row>96</xdr:row>
      <xdr:rowOff>44264</xdr:rowOff>
    </xdr:from>
    <xdr:to>
      <xdr:col>2</xdr:col>
      <xdr:colOff>438151</xdr:colOff>
      <xdr:row>98</xdr:row>
      <xdr:rowOff>4520</xdr:rowOff>
    </xdr:to>
    <xdr:sp macro="" textlink="">
      <xdr:nvSpPr>
        <xdr:cNvPr id="25" name="Botão Instruções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381000" y="18679646"/>
          <a:ext cx="1043269" cy="336176"/>
        </a:xfrm>
        <a:prstGeom prst="foldedCorner">
          <a:avLst>
            <a:gd name="adj" fmla="val 26624"/>
          </a:avLst>
        </a:prstGeom>
        <a:solidFill>
          <a:srgbClr val="43525B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INSTRUÇÕES</a:t>
          </a:r>
        </a:p>
      </xdr:txBody>
    </xdr:sp>
    <xdr:clientData/>
  </xdr:twoCellAnchor>
  <xdr:twoCellAnchor editAs="absolute">
    <xdr:from>
      <xdr:col>19</xdr:col>
      <xdr:colOff>0</xdr:colOff>
      <xdr:row>96</xdr:row>
      <xdr:rowOff>89647</xdr:rowOff>
    </xdr:from>
    <xdr:to>
      <xdr:col>21</xdr:col>
      <xdr:colOff>93745</xdr:colOff>
      <xdr:row>99</xdr:row>
      <xdr:rowOff>33618</xdr:rowOff>
    </xdr:to>
    <xdr:pic>
      <xdr:nvPicPr>
        <xdr:cNvPr id="26" name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5176" y="18725029"/>
          <a:ext cx="1303981" cy="515471"/>
        </a:xfrm>
        <a:prstGeom prst="rect">
          <a:avLst/>
        </a:prstGeom>
      </xdr:spPr>
    </xdr:pic>
    <xdr:clientData/>
  </xdr:twoCellAnchor>
  <xdr:twoCellAnchor editAs="absolute">
    <xdr:from>
      <xdr:col>16</xdr:col>
      <xdr:colOff>0</xdr:colOff>
      <xdr:row>41</xdr:row>
      <xdr:rowOff>134469</xdr:rowOff>
    </xdr:from>
    <xdr:to>
      <xdr:col>20</xdr:col>
      <xdr:colOff>0</xdr:colOff>
      <xdr:row>48</xdr:row>
      <xdr:rowOff>177799</xdr:rowOff>
    </xdr:to>
    <xdr:grpSp>
      <xdr:nvGrpSpPr>
        <xdr:cNvPr id="28" name="Agrupar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pSpPr/>
      </xdr:nvGrpSpPr>
      <xdr:grpSpPr>
        <a:xfrm>
          <a:off x="9906000" y="7853081"/>
          <a:ext cx="2510118" cy="1298389"/>
          <a:chOff x="7149353" y="4250317"/>
          <a:chExt cx="5732696" cy="1382540"/>
        </a:xfrm>
      </xdr:grpSpPr>
      <xdr:sp macro="" textlink="">
        <xdr:nvSpPr>
          <xdr:cNvPr id="29" name="Retângulo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/>
        </xdr:nvSpPr>
        <xdr:spPr>
          <a:xfrm>
            <a:off x="7149353" y="4527176"/>
            <a:ext cx="5732696" cy="1105681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just"/>
            <a:r>
              <a:rPr lang="pt-BR" sz="1100">
                <a:solidFill>
                  <a:srgbClr val="43525B"/>
                </a:solidFill>
              </a:rPr>
              <a:t>Selecione</a:t>
            </a:r>
            <a:r>
              <a:rPr lang="pt-BR" sz="1100" baseline="0">
                <a:solidFill>
                  <a:srgbClr val="43525B"/>
                </a:solidFill>
              </a:rPr>
              <a:t> o mês de você deseja simular. Geralmente é a data atual.</a:t>
            </a:r>
            <a:endParaRPr lang="pt-BR" sz="1100">
              <a:solidFill>
                <a:srgbClr val="43525B"/>
              </a:solidFill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DropMes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100-000003040000}"/>
                  </a:ext>
                </a:extLst>
              </xdr:cNvPr>
              <xdr:cNvSpPr/>
            </xdr:nvSpPr>
            <xdr:spPr bwMode="auto">
              <a:xfrm>
                <a:off x="8582526" y="5064231"/>
                <a:ext cx="2574402" cy="28014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1" name="Retângulo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7149353" y="4250317"/>
            <a:ext cx="5732696" cy="268642"/>
          </a:xfrm>
          <a:prstGeom prst="rect">
            <a:avLst/>
          </a:prstGeom>
          <a:solidFill>
            <a:srgbClr val="3C88A6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MÊS</a:t>
            </a:r>
            <a:r>
              <a:rPr lang="pt-BR" sz="1100" baseline="0"/>
              <a:t> DE REFERÊNCIA</a:t>
            </a:r>
            <a:endParaRPr lang="pt-BR" sz="1100"/>
          </a:p>
        </xdr:txBody>
      </xdr:sp>
    </xdr:grpSp>
    <xdr:clientData/>
  </xdr:twoCellAnchor>
  <xdr:twoCellAnchor editAs="absolute">
    <xdr:from>
      <xdr:col>16</xdr:col>
      <xdr:colOff>0</xdr:colOff>
      <xdr:row>50</xdr:row>
      <xdr:rowOff>32560</xdr:rowOff>
    </xdr:from>
    <xdr:to>
      <xdr:col>20</xdr:col>
      <xdr:colOff>0</xdr:colOff>
      <xdr:row>58</xdr:row>
      <xdr:rowOff>168088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pSpPr/>
      </xdr:nvGrpSpPr>
      <xdr:grpSpPr>
        <a:xfrm>
          <a:off x="9906000" y="9364819"/>
          <a:ext cx="2510118" cy="1569881"/>
          <a:chOff x="7149353" y="4250317"/>
          <a:chExt cx="5732696" cy="1672877"/>
        </a:xfrm>
      </xdr:grpSpPr>
      <xdr:sp macro="" textlink="">
        <xdr:nvSpPr>
          <xdr:cNvPr id="33" name="Retângulo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>
            <a:off x="7149353" y="4527175"/>
            <a:ext cx="5732696" cy="1396019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just"/>
            <a:r>
              <a:rPr lang="pt-BR" sz="1100">
                <a:solidFill>
                  <a:srgbClr val="43525B"/>
                </a:solidFill>
              </a:rPr>
              <a:t>Se</a:t>
            </a:r>
            <a:r>
              <a:rPr lang="pt-BR" sz="1100" baseline="0">
                <a:solidFill>
                  <a:srgbClr val="43525B"/>
                </a:solidFill>
              </a:rPr>
              <a:t> a sua atividade estiver enquadrada para o cálculo do fator R, comece o preenchimendo da planilha aqui.</a:t>
            </a:r>
            <a:endParaRPr lang="pt-BR" sz="1100">
              <a:solidFill>
                <a:srgbClr val="43525B"/>
              </a:solidFill>
            </a:endParaRPr>
          </a:p>
        </xdr:txBody>
      </xdr:sp>
      <xdr:sp macro="" textlink="">
        <xdr:nvSpPr>
          <xdr:cNvPr id="35" name="Retângulo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7149353" y="4250317"/>
            <a:ext cx="5732696" cy="268642"/>
          </a:xfrm>
          <a:prstGeom prst="rect">
            <a:avLst/>
          </a:prstGeom>
          <a:solidFill>
            <a:srgbClr val="3C88A6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FATOR R DO</a:t>
            </a:r>
            <a:r>
              <a:rPr lang="pt-BR" sz="1100" baseline="0"/>
              <a:t> ANEXO III E V</a:t>
            </a:r>
            <a:endParaRPr lang="pt-BR" sz="1100"/>
          </a:p>
        </xdr:txBody>
      </xdr:sp>
    </xdr:grpSp>
    <xdr:clientData/>
  </xdr:twoCellAnchor>
  <xdr:twoCellAnchor editAs="absolute">
    <xdr:from>
      <xdr:col>16</xdr:col>
      <xdr:colOff>0</xdr:colOff>
      <xdr:row>21</xdr:row>
      <xdr:rowOff>1496</xdr:rowOff>
    </xdr:from>
    <xdr:to>
      <xdr:col>20</xdr:col>
      <xdr:colOff>0</xdr:colOff>
      <xdr:row>30</xdr:row>
      <xdr:rowOff>0</xdr:rowOff>
    </xdr:to>
    <xdr:grpSp>
      <xdr:nvGrpSpPr>
        <xdr:cNvPr id="36" name="Agrupar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/>
      </xdr:nvGrpSpPr>
      <xdr:grpSpPr>
        <a:xfrm>
          <a:off x="9906000" y="4134225"/>
          <a:ext cx="2510118" cy="1612151"/>
          <a:chOff x="7149353" y="4250317"/>
          <a:chExt cx="5732696" cy="1717023"/>
        </a:xfrm>
      </xdr:grpSpPr>
      <xdr:sp macro="" textlink="">
        <xdr:nvSpPr>
          <xdr:cNvPr id="37" name="Retângulo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7149353" y="4527176"/>
            <a:ext cx="5732696" cy="1440164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just"/>
            <a:r>
              <a:rPr lang="pt-BR" sz="1100">
                <a:solidFill>
                  <a:srgbClr val="43525B"/>
                </a:solidFill>
              </a:rPr>
              <a:t>Alguns estados possuem</a:t>
            </a:r>
            <a:r>
              <a:rPr lang="pt-BR" sz="1100" baseline="0">
                <a:solidFill>
                  <a:srgbClr val="43525B"/>
                </a:solidFill>
              </a:rPr>
              <a:t> benefícios de isenção do ICMS para faturamentos dos últimos 12 meses até de R$ 360.000,00. Verifique com o seu contador e selecione Sim ou Não.</a:t>
            </a:r>
            <a:endParaRPr lang="pt-BR" sz="1100">
              <a:solidFill>
                <a:srgbClr val="43525B"/>
              </a:solidFill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DropMes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100-000005040000}"/>
                  </a:ext>
                </a:extLst>
              </xdr:cNvPr>
              <xdr:cNvSpPr/>
            </xdr:nvSpPr>
            <xdr:spPr bwMode="auto">
              <a:xfrm>
                <a:off x="8582526" y="5497653"/>
                <a:ext cx="2574402" cy="28014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9" name="Retângulo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>
            <a:off x="7149353" y="4250317"/>
            <a:ext cx="5732696" cy="268642"/>
          </a:xfrm>
          <a:prstGeom prst="rect">
            <a:avLst/>
          </a:prstGeom>
          <a:solidFill>
            <a:srgbClr val="3C88A6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ISENÇÃO</a:t>
            </a:r>
            <a:r>
              <a:rPr lang="pt-BR" sz="1100" baseline="0"/>
              <a:t> DE ICMS</a:t>
            </a:r>
            <a:endParaRPr lang="pt-BR" sz="1100"/>
          </a:p>
        </xdr:txBody>
      </xdr:sp>
    </xdr:grpSp>
    <xdr:clientData/>
  </xdr:twoCellAnchor>
  <xdr:twoCellAnchor editAs="absolute">
    <xdr:from>
      <xdr:col>16</xdr:col>
      <xdr:colOff>0</xdr:colOff>
      <xdr:row>59</xdr:row>
      <xdr:rowOff>145676</xdr:rowOff>
    </xdr:from>
    <xdr:to>
      <xdr:col>20</xdr:col>
      <xdr:colOff>0</xdr:colOff>
      <xdr:row>79</xdr:row>
      <xdr:rowOff>0</xdr:rowOff>
    </xdr:to>
    <xdr:grpSp>
      <xdr:nvGrpSpPr>
        <xdr:cNvPr id="41" name="Agrupar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GrpSpPr/>
      </xdr:nvGrpSpPr>
      <xdr:grpSpPr>
        <a:xfrm>
          <a:off x="9906000" y="11091582"/>
          <a:ext cx="2510118" cy="3440206"/>
          <a:chOff x="7149353" y="4250317"/>
          <a:chExt cx="5732696" cy="3693800"/>
        </a:xfrm>
      </xdr:grpSpPr>
      <xdr:sp macro="" textlink="">
        <xdr:nvSpPr>
          <xdr:cNvPr id="42" name="Retângulo 4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/>
        </xdr:nvSpPr>
        <xdr:spPr>
          <a:xfrm>
            <a:off x="7149353" y="4527175"/>
            <a:ext cx="5732696" cy="3416942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just"/>
            <a:r>
              <a:rPr lang="pt-BR" sz="1100">
                <a:solidFill>
                  <a:srgbClr val="43525B"/>
                </a:solidFill>
              </a:rPr>
              <a:t>Para</a:t>
            </a:r>
            <a:r>
              <a:rPr lang="pt-BR" sz="1100" baseline="0">
                <a:solidFill>
                  <a:srgbClr val="43525B"/>
                </a:solidFill>
              </a:rPr>
              <a:t> as demais atividades (sem Fator R), vá direto para o preenchimento do Anexo correspondente à sua atividade.</a:t>
            </a:r>
            <a:endParaRPr lang="pt-BR" sz="1100">
              <a:solidFill>
                <a:srgbClr val="43525B"/>
              </a:solidFill>
            </a:endParaRPr>
          </a:p>
        </xdr:txBody>
      </xdr:sp>
      <xdr:sp macro="" textlink="">
        <xdr:nvSpPr>
          <xdr:cNvPr id="43" name="Retângulo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/>
        </xdr:nvSpPr>
        <xdr:spPr>
          <a:xfrm>
            <a:off x="7149353" y="4250317"/>
            <a:ext cx="5732696" cy="268642"/>
          </a:xfrm>
          <a:prstGeom prst="rect">
            <a:avLst/>
          </a:prstGeom>
          <a:solidFill>
            <a:srgbClr val="3C88A6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NÃO</a:t>
            </a:r>
            <a:r>
              <a:rPr lang="pt-BR" sz="1100" baseline="0"/>
              <a:t> CALCULA FATOR R</a:t>
            </a:r>
            <a:endParaRPr lang="pt-BR" sz="1100"/>
          </a:p>
        </xdr:txBody>
      </xdr:sp>
    </xdr:grpSp>
    <xdr:clientData/>
  </xdr:twoCellAnchor>
  <xdr:twoCellAnchor editAs="absolute">
    <xdr:from>
      <xdr:col>17</xdr:col>
      <xdr:colOff>83484</xdr:colOff>
      <xdr:row>76</xdr:row>
      <xdr:rowOff>56030</xdr:rowOff>
    </xdr:from>
    <xdr:to>
      <xdr:col>18</xdr:col>
      <xdr:colOff>521635</xdr:colOff>
      <xdr:row>78</xdr:row>
      <xdr:rowOff>11206</xdr:rowOff>
    </xdr:to>
    <xdr:sp macro="" textlink="">
      <xdr:nvSpPr>
        <xdr:cNvPr id="7" name="Botão Anexo V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258425" y="14859001"/>
          <a:ext cx="1043269" cy="336176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V</a:t>
          </a:r>
        </a:p>
      </xdr:txBody>
    </xdr:sp>
    <xdr:clientData/>
  </xdr:twoCellAnchor>
  <xdr:twoCellAnchor editAs="absolute">
    <xdr:from>
      <xdr:col>17</xdr:col>
      <xdr:colOff>85725</xdr:colOff>
      <xdr:row>73</xdr:row>
      <xdr:rowOff>105335</xdr:rowOff>
    </xdr:from>
    <xdr:to>
      <xdr:col>18</xdr:col>
      <xdr:colOff>519393</xdr:colOff>
      <xdr:row>75</xdr:row>
      <xdr:rowOff>60511</xdr:rowOff>
    </xdr:to>
    <xdr:sp macro="" textlink="">
      <xdr:nvSpPr>
        <xdr:cNvPr id="8" name="Botão Anexo IV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0260666" y="14336806"/>
          <a:ext cx="1038786" cy="336176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IV</a:t>
          </a:r>
        </a:p>
      </xdr:txBody>
    </xdr:sp>
    <xdr:clientData/>
  </xdr:twoCellAnchor>
  <xdr:twoCellAnchor editAs="absolute">
    <xdr:from>
      <xdr:col>17</xdr:col>
      <xdr:colOff>85725</xdr:colOff>
      <xdr:row>70</xdr:row>
      <xdr:rowOff>154641</xdr:rowOff>
    </xdr:from>
    <xdr:to>
      <xdr:col>18</xdr:col>
      <xdr:colOff>519393</xdr:colOff>
      <xdr:row>72</xdr:row>
      <xdr:rowOff>109817</xdr:rowOff>
    </xdr:to>
    <xdr:sp macro="" textlink="">
      <xdr:nvSpPr>
        <xdr:cNvPr id="9" name="Botão Anexo III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260666" y="13814612"/>
          <a:ext cx="1038786" cy="336176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III</a:t>
          </a:r>
        </a:p>
      </xdr:txBody>
    </xdr:sp>
    <xdr:clientData/>
  </xdr:twoCellAnchor>
  <xdr:twoCellAnchor editAs="absolute">
    <xdr:from>
      <xdr:col>17</xdr:col>
      <xdr:colOff>83484</xdr:colOff>
      <xdr:row>68</xdr:row>
      <xdr:rowOff>13447</xdr:rowOff>
    </xdr:from>
    <xdr:to>
      <xdr:col>18</xdr:col>
      <xdr:colOff>521635</xdr:colOff>
      <xdr:row>69</xdr:row>
      <xdr:rowOff>159123</xdr:rowOff>
    </xdr:to>
    <xdr:sp macro="" textlink="">
      <xdr:nvSpPr>
        <xdr:cNvPr id="10" name="Botão Anexo II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0258425" y="13292418"/>
          <a:ext cx="1043269" cy="336176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II</a:t>
          </a:r>
        </a:p>
      </xdr:txBody>
    </xdr:sp>
    <xdr:clientData/>
  </xdr:twoCellAnchor>
  <xdr:twoCellAnchor editAs="absolute">
    <xdr:from>
      <xdr:col>17</xdr:col>
      <xdr:colOff>85725</xdr:colOff>
      <xdr:row>65</xdr:row>
      <xdr:rowOff>62753</xdr:rowOff>
    </xdr:from>
    <xdr:to>
      <xdr:col>18</xdr:col>
      <xdr:colOff>519393</xdr:colOff>
      <xdr:row>67</xdr:row>
      <xdr:rowOff>17929</xdr:rowOff>
    </xdr:to>
    <xdr:sp macro="" textlink="">
      <xdr:nvSpPr>
        <xdr:cNvPr id="11" name="Botão Anexo I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260666" y="12770224"/>
          <a:ext cx="1038786" cy="336176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</a:t>
          </a:r>
        </a:p>
      </xdr:txBody>
    </xdr:sp>
    <xdr:clientData/>
  </xdr:twoCellAnchor>
  <xdr:twoCellAnchor editAs="absolute">
    <xdr:from>
      <xdr:col>17</xdr:col>
      <xdr:colOff>82083</xdr:colOff>
      <xdr:row>56</xdr:row>
      <xdr:rowOff>1059</xdr:rowOff>
    </xdr:from>
    <xdr:to>
      <xdr:col>18</xdr:col>
      <xdr:colOff>523035</xdr:colOff>
      <xdr:row>57</xdr:row>
      <xdr:rowOff>146735</xdr:rowOff>
    </xdr:to>
    <xdr:sp macro="" textlink="">
      <xdr:nvSpPr>
        <xdr:cNvPr id="12" name="Botão Fator R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257024" y="10994030"/>
          <a:ext cx="1046070" cy="336176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FATOR R</a:t>
          </a:r>
        </a:p>
      </xdr:txBody>
    </xdr:sp>
    <xdr:clientData/>
  </xdr:twoCellAnchor>
  <xdr:twoCellAnchor editAs="absolute">
    <xdr:from>
      <xdr:col>1</xdr:col>
      <xdr:colOff>53788</xdr:colOff>
      <xdr:row>67</xdr:row>
      <xdr:rowOff>96369</xdr:rowOff>
    </xdr:from>
    <xdr:to>
      <xdr:col>14</xdr:col>
      <xdr:colOff>53788</xdr:colOff>
      <xdr:row>72</xdr:row>
      <xdr:rowOff>116541</xdr:rowOff>
    </xdr:to>
    <xdr:sp macro="" textlink="">
      <xdr:nvSpPr>
        <xdr:cNvPr id="16" name="Retângulo: Cantos Diagonais Recortados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39270" y="12476628"/>
          <a:ext cx="8265459" cy="916642"/>
        </a:xfrm>
        <a:prstGeom prst="snip2DiagRect">
          <a:avLst>
            <a:gd name="adj1" fmla="val 0"/>
            <a:gd name="adj2" fmla="val 22072"/>
          </a:avLst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just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1800"/>
            </a:spcAft>
            <a:buClrTx/>
            <a:buSzTx/>
            <a:buFontTx/>
            <a:buNone/>
            <a:tabLst/>
            <a:defRPr/>
          </a:pPr>
          <a:r>
            <a:rPr kumimoji="0" lang="pt-BR" sz="1200" b="1" i="0" u="none" strike="noStrike" kern="0" cap="none" spc="10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Importante: </a:t>
          </a:r>
          <a:r>
            <a:rPr kumimoji="0" lang="pt-BR" sz="1200" b="0" i="0" u="none" strike="noStrike" kern="0" cap="none" spc="10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Essa planilha tem por objetivo </a:t>
          </a:r>
          <a:r>
            <a:rPr kumimoji="0" lang="pt-BR" sz="1200" b="1" i="0" u="none" strike="noStrike" kern="0" cap="none" spc="10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ajudar a simular</a:t>
          </a:r>
          <a:r>
            <a:rPr kumimoji="0" lang="pt-BR" sz="1200" b="0" i="0" u="none" strike="noStrike" kern="0" cap="none" spc="10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o valor do Simples Nacional da sua empresa, mas tenha cautela e </a:t>
          </a:r>
          <a:r>
            <a:rPr kumimoji="0" lang="pt-BR" sz="1200" b="1" i="0" u="none" strike="noStrike" kern="0" cap="none" spc="10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sempre consulte seu contador</a:t>
          </a:r>
          <a:r>
            <a:rPr kumimoji="0" lang="pt-BR" sz="1200" b="0" i="0" u="none" strike="noStrike" kern="0" cap="none" spc="10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</a:t>
          </a:r>
        </a:p>
        <a:p>
          <a:pPr algn="l"/>
          <a:endParaRPr lang="pt-BR" sz="1100"/>
        </a:p>
      </xdr:txBody>
    </xdr:sp>
    <xdr:clientData/>
  </xdr:twoCellAnchor>
  <xdr:twoCellAnchor editAs="absolute">
    <xdr:from>
      <xdr:col>12</xdr:col>
      <xdr:colOff>134471</xdr:colOff>
      <xdr:row>4</xdr:row>
      <xdr:rowOff>248771</xdr:rowOff>
    </xdr:from>
    <xdr:to>
      <xdr:col>15</xdr:col>
      <xdr:colOff>0</xdr:colOff>
      <xdr:row>81</xdr:row>
      <xdr:rowOff>84044</xdr:rowOff>
    </xdr:to>
    <xdr:cxnSp macro="">
      <xdr:nvCxnSpPr>
        <xdr:cNvPr id="30" name="Conector: Angulado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>
          <a:stCxn id="52" idx="3"/>
          <a:endCxn id="46" idx="1"/>
        </xdr:cNvCxnSpPr>
      </xdr:nvCxnSpPr>
      <xdr:spPr>
        <a:xfrm flipV="1">
          <a:off x="7283824" y="1201271"/>
          <a:ext cx="1680882" cy="14638244"/>
        </a:xfrm>
        <a:prstGeom prst="bentConnector3">
          <a:avLst>
            <a:gd name="adj1" fmla="val 82667"/>
          </a:avLst>
        </a:prstGeom>
        <a:ln w="28575">
          <a:solidFill>
            <a:srgbClr val="3C88A6"/>
          </a:solidFill>
          <a:headEnd type="diamond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15</xdr:col>
      <xdr:colOff>0</xdr:colOff>
      <xdr:row>3</xdr:row>
      <xdr:rowOff>82924</xdr:rowOff>
    </xdr:from>
    <xdr:to>
      <xdr:col>21</xdr:col>
      <xdr:colOff>0</xdr:colOff>
      <xdr:row>6</xdr:row>
      <xdr:rowOff>0</xdr:rowOff>
    </xdr:to>
    <xdr:sp macro="" textlink="">
      <xdr:nvSpPr>
        <xdr:cNvPr id="46" name="Retângulo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8964706" y="934571"/>
          <a:ext cx="3630706" cy="533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12</xdr:col>
      <xdr:colOff>88752</xdr:colOff>
      <xdr:row>80</xdr:row>
      <xdr:rowOff>145677</xdr:rowOff>
    </xdr:from>
    <xdr:to>
      <xdr:col>12</xdr:col>
      <xdr:colOff>134471</xdr:colOff>
      <xdr:row>82</xdr:row>
      <xdr:rowOff>11207</xdr:rowOff>
    </xdr:to>
    <xdr:sp macro="" textlink="">
      <xdr:nvSpPr>
        <xdr:cNvPr id="52" name="Retângulo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 flipV="1">
          <a:off x="7238105" y="15710648"/>
          <a:ext cx="45719" cy="257735"/>
        </a:xfrm>
        <a:prstGeom prst="rect">
          <a:avLst/>
        </a:prstGeom>
        <a:solidFill>
          <a:srgbClr val="3C88A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16</xdr:col>
      <xdr:colOff>0</xdr:colOff>
      <xdr:row>31</xdr:row>
      <xdr:rowOff>0</xdr:rowOff>
    </xdr:from>
    <xdr:to>
      <xdr:col>20</xdr:col>
      <xdr:colOff>0</xdr:colOff>
      <xdr:row>40</xdr:row>
      <xdr:rowOff>112057</xdr:rowOff>
    </xdr:to>
    <xdr:grpSp>
      <xdr:nvGrpSpPr>
        <xdr:cNvPr id="70" name="Agrupar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GrpSpPr/>
      </xdr:nvGrpSpPr>
      <xdr:grpSpPr>
        <a:xfrm>
          <a:off x="9906000" y="5925671"/>
          <a:ext cx="2510118" cy="1725704"/>
          <a:chOff x="7149353" y="4250317"/>
          <a:chExt cx="5732696" cy="1817368"/>
        </a:xfrm>
      </xdr:grpSpPr>
      <xdr:sp macro="" textlink="">
        <xdr:nvSpPr>
          <xdr:cNvPr id="71" name="Retângulo 70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SpPr/>
        </xdr:nvSpPr>
        <xdr:spPr>
          <a:xfrm>
            <a:off x="7149353" y="4527175"/>
            <a:ext cx="5732696" cy="154051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just"/>
            <a:r>
              <a:rPr lang="pt-BR" sz="1100">
                <a:solidFill>
                  <a:srgbClr val="43525B"/>
                </a:solidFill>
              </a:rPr>
              <a:t>Se a atividade da sua empresa for do Anexo III, Anexo IV ou Anexo V (todas de Serviços), consulte seu contador para confirmar se sua atividade terá retenção do ISS na fonte.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0" name="Drop Down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100-000006040000}"/>
                  </a:ext>
                </a:extLst>
              </xdr:cNvPr>
              <xdr:cNvSpPr/>
            </xdr:nvSpPr>
            <xdr:spPr bwMode="auto">
              <a:xfrm>
                <a:off x="8582526" y="5632857"/>
                <a:ext cx="2574402" cy="28014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73" name="Retângulo 72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SpPr/>
        </xdr:nvSpPr>
        <xdr:spPr>
          <a:xfrm>
            <a:off x="7149353" y="4250317"/>
            <a:ext cx="5732696" cy="268642"/>
          </a:xfrm>
          <a:prstGeom prst="rect">
            <a:avLst/>
          </a:prstGeom>
          <a:solidFill>
            <a:srgbClr val="3C88A6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RETENÇÃO DE ISS</a:t>
            </a:r>
            <a:r>
              <a:rPr lang="pt-BR" sz="1100" baseline="0"/>
              <a:t> NA FONTE</a:t>
            </a:r>
            <a:endParaRPr lang="pt-BR" sz="1100"/>
          </a:p>
        </xdr:txBody>
      </xdr:sp>
    </xdr:grpSp>
    <xdr:clientData/>
  </xdr:twoCellAnchor>
  <xdr:twoCellAnchor editAs="absolute">
    <xdr:from>
      <xdr:col>14</xdr:col>
      <xdr:colOff>102275</xdr:colOff>
      <xdr:row>84</xdr:row>
      <xdr:rowOff>17930</xdr:rowOff>
    </xdr:from>
    <xdr:to>
      <xdr:col>17</xdr:col>
      <xdr:colOff>538660</xdr:colOff>
      <xdr:row>90</xdr:row>
      <xdr:rowOff>35860</xdr:rowOff>
    </xdr:to>
    <xdr:grpSp>
      <xdr:nvGrpSpPr>
        <xdr:cNvPr id="13" name="Agrupa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8753216" y="15464118"/>
          <a:ext cx="2318973" cy="1093695"/>
          <a:chOff x="3923481" y="16557812"/>
          <a:chExt cx="2251738" cy="1160930"/>
        </a:xfrm>
      </xdr:grpSpPr>
      <xdr:pic>
        <xdr:nvPicPr>
          <xdr:cNvPr id="57" name="Imagem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3966270" y="16557812"/>
            <a:ext cx="2208949" cy="1160930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80" name="Seta: Mês Referência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SpPr/>
        </xdr:nvSpPr>
        <xdr:spPr>
          <a:xfrm rot="16200000">
            <a:off x="4021152" y="16845338"/>
            <a:ext cx="478702" cy="674043"/>
          </a:xfrm>
          <a:prstGeom prst="downArrow">
            <a:avLst/>
          </a:prstGeom>
          <a:ln/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absolute">
    <xdr:from>
      <xdr:col>16</xdr:col>
      <xdr:colOff>0</xdr:colOff>
      <xdr:row>6</xdr:row>
      <xdr:rowOff>112990</xdr:rowOff>
    </xdr:from>
    <xdr:to>
      <xdr:col>20</xdr:col>
      <xdr:colOff>0</xdr:colOff>
      <xdr:row>20</xdr:row>
      <xdr:rowOff>0</xdr:rowOff>
    </xdr:to>
    <xdr:grpSp>
      <xdr:nvGrpSpPr>
        <xdr:cNvPr id="27" name="Agrupar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pSpPr/>
      </xdr:nvGrpSpPr>
      <xdr:grpSpPr>
        <a:xfrm>
          <a:off x="9906000" y="1556308"/>
          <a:ext cx="2510118" cy="2397127"/>
          <a:chOff x="9569824" y="1580961"/>
          <a:chExt cx="2420470" cy="2554010"/>
        </a:xfrm>
      </xdr:grpSpPr>
      <xdr:sp macro="" textlink="">
        <xdr:nvSpPr>
          <xdr:cNvPr id="54" name="Retângulo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/>
        </xdr:nvSpPr>
        <xdr:spPr>
          <a:xfrm>
            <a:off x="9569824" y="1848974"/>
            <a:ext cx="2420470" cy="179294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just"/>
            <a:r>
              <a:rPr lang="pt-BR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Se a sua empresa iniciou as atividades</a:t>
            </a:r>
            <a:r>
              <a:rPr lang="pt-BR" sz="11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 a menos de 12 meses, escolha a data de abertura da empresa (a mesma data que consta no CNPJ). Se a empresa tem mais de 12 meses, mantenha a data padrão de (JANEIRO/2017).</a:t>
            </a:r>
            <a:endParaRPr lang="pt-BR">
              <a:solidFill>
                <a:sysClr val="windowText" lastClr="000000"/>
              </a:solidFill>
              <a:effectLst/>
            </a:endParaRPr>
          </a:p>
        </xdr:txBody>
      </xdr:sp>
      <xdr:sp macro="" textlink="">
        <xdr:nvSpPr>
          <xdr:cNvPr id="55" name="Retângulo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/>
        </xdr:nvSpPr>
        <xdr:spPr>
          <a:xfrm>
            <a:off x="9569824" y="1580961"/>
            <a:ext cx="2420470" cy="268013"/>
          </a:xfrm>
          <a:prstGeom prst="rect">
            <a:avLst/>
          </a:prstGeom>
          <a:solidFill>
            <a:srgbClr val="3C88A6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100"/>
              <a:t>DATA DE INÍCIO DE ATIVIDADE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DropAno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100-000009040000}"/>
                  </a:ext>
                </a:extLst>
              </xdr:cNvPr>
              <xdr:cNvSpPr/>
            </xdr:nvSpPr>
            <xdr:spPr bwMode="auto">
              <a:xfrm>
                <a:off x="9726706" y="3258671"/>
                <a:ext cx="1200710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4" name="DropMes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100-00000A040000}"/>
                  </a:ext>
                </a:extLst>
              </xdr:cNvPr>
              <xdr:cNvSpPr/>
            </xdr:nvSpPr>
            <xdr:spPr bwMode="auto">
              <a:xfrm>
                <a:off x="11127441" y="3258671"/>
                <a:ext cx="726702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9" name="Retângulo 58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/>
        </xdr:nvSpPr>
        <xdr:spPr>
          <a:xfrm>
            <a:off x="9569824" y="3641912"/>
            <a:ext cx="2420470" cy="493059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</a:rPr>
              <a:t>ESTE CAMPO NÃO PODERÁ SER ALTERADO POSTERIORMENTE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99060</xdr:colOff>
          <xdr:row>7</xdr:row>
          <xdr:rowOff>106680</xdr:rowOff>
        </xdr:from>
        <xdr:to>
          <xdr:col>1</xdr:col>
          <xdr:colOff>685800</xdr:colOff>
          <xdr:row>8</xdr:row>
          <xdr:rowOff>83820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</xdr:col>
      <xdr:colOff>1</xdr:colOff>
      <xdr:row>1</xdr:row>
      <xdr:rowOff>0</xdr:rowOff>
    </xdr:from>
    <xdr:to>
      <xdr:col>15</xdr:col>
      <xdr:colOff>17931</xdr:colOff>
      <xdr:row>1</xdr:row>
      <xdr:rowOff>0</xdr:rowOff>
    </xdr:to>
    <xdr:cxnSp macro="">
      <xdr:nvCxnSpPr>
        <xdr:cNvPr id="5" name="Linha Títul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>
          <a:off x="381001" y="514350"/>
          <a:ext cx="12496800" cy="0"/>
        </a:xfrm>
        <a:prstGeom prst="line">
          <a:avLst/>
        </a:prstGeom>
        <a:ln w="38100">
          <a:solidFill>
            <a:srgbClr val="3C88A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92448</xdr:colOff>
      <xdr:row>1</xdr:row>
      <xdr:rowOff>0</xdr:rowOff>
    </xdr:from>
    <xdr:to>
      <xdr:col>8</xdr:col>
      <xdr:colOff>482974</xdr:colOff>
      <xdr:row>3</xdr:row>
      <xdr:rowOff>0</xdr:rowOff>
    </xdr:to>
    <xdr:sp macro="" textlink="">
      <xdr:nvSpPr>
        <xdr:cNvPr id="7" name="Botão Anexo V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724650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V</a:t>
          </a:r>
        </a:p>
      </xdr:txBody>
    </xdr:sp>
    <xdr:clientData/>
  </xdr:twoCellAnchor>
  <xdr:twoCellAnchor editAs="absolute">
    <xdr:from>
      <xdr:col>5</xdr:col>
      <xdr:colOff>578224</xdr:colOff>
      <xdr:row>1</xdr:row>
      <xdr:rowOff>0</xdr:rowOff>
    </xdr:from>
    <xdr:to>
      <xdr:col>7</xdr:col>
      <xdr:colOff>82924</xdr:colOff>
      <xdr:row>3</xdr:row>
      <xdr:rowOff>0</xdr:rowOff>
    </xdr:to>
    <xdr:sp macro="" textlink="">
      <xdr:nvSpPr>
        <xdr:cNvPr id="8" name="Botão Anexo IV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667375" y="514350"/>
          <a:ext cx="1047751" cy="333375"/>
        </a:xfrm>
        <a:prstGeom prst="foldedCorner">
          <a:avLst>
            <a:gd name="adj" fmla="val 26624"/>
          </a:avLst>
        </a:prstGeom>
        <a:solidFill>
          <a:schemeClr val="bg1">
            <a:lumMod val="65000"/>
          </a:schemeClr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IV</a:t>
          </a:r>
        </a:p>
      </xdr:txBody>
    </xdr:sp>
    <xdr:clientData/>
  </xdr:twoCellAnchor>
  <xdr:twoCellAnchor editAs="absolute">
    <xdr:from>
      <xdr:col>4</xdr:col>
      <xdr:colOff>702048</xdr:colOff>
      <xdr:row>1</xdr:row>
      <xdr:rowOff>0</xdr:rowOff>
    </xdr:from>
    <xdr:to>
      <xdr:col>5</xdr:col>
      <xdr:colOff>568700</xdr:colOff>
      <xdr:row>3</xdr:row>
      <xdr:rowOff>0</xdr:rowOff>
    </xdr:to>
    <xdr:sp macro="" textlink="">
      <xdr:nvSpPr>
        <xdr:cNvPr id="9" name="Botão Anexo III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610100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III</a:t>
          </a:r>
        </a:p>
      </xdr:txBody>
    </xdr:sp>
    <xdr:clientData/>
  </xdr:twoCellAnchor>
  <xdr:twoCellAnchor editAs="absolute">
    <xdr:from>
      <xdr:col>3</xdr:col>
      <xdr:colOff>902073</xdr:colOff>
      <xdr:row>1</xdr:row>
      <xdr:rowOff>0</xdr:rowOff>
    </xdr:from>
    <xdr:to>
      <xdr:col>4</xdr:col>
      <xdr:colOff>692524</xdr:colOff>
      <xdr:row>3</xdr:row>
      <xdr:rowOff>0</xdr:rowOff>
    </xdr:to>
    <xdr:sp macro="" textlink="">
      <xdr:nvSpPr>
        <xdr:cNvPr id="10" name="Botão Anexo II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552825" y="514350"/>
          <a:ext cx="1047751" cy="333375"/>
        </a:xfrm>
        <a:prstGeom prst="foldedCorner">
          <a:avLst>
            <a:gd name="adj" fmla="val 26624"/>
          </a:avLst>
        </a:prstGeom>
        <a:solidFill>
          <a:schemeClr val="bg1">
            <a:lumMod val="65000"/>
          </a:schemeClr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II</a:t>
          </a:r>
        </a:p>
      </xdr:txBody>
    </xdr:sp>
    <xdr:clientData/>
  </xdr:twoCellAnchor>
  <xdr:twoCellAnchor editAs="absolute">
    <xdr:from>
      <xdr:col>2</xdr:col>
      <xdr:colOff>1162050</xdr:colOff>
      <xdr:row>1</xdr:row>
      <xdr:rowOff>0</xdr:rowOff>
    </xdr:from>
    <xdr:to>
      <xdr:col>3</xdr:col>
      <xdr:colOff>892549</xdr:colOff>
      <xdr:row>3</xdr:row>
      <xdr:rowOff>0</xdr:rowOff>
    </xdr:to>
    <xdr:sp macro="" textlink="">
      <xdr:nvSpPr>
        <xdr:cNvPr id="11" name="Botão Anexo I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495550" y="514350"/>
          <a:ext cx="1047751" cy="333375"/>
        </a:xfrm>
        <a:prstGeom prst="foldedCorner">
          <a:avLst>
            <a:gd name="adj" fmla="val 26624"/>
          </a:avLst>
        </a:prstGeom>
        <a:solidFill>
          <a:schemeClr val="bg1">
            <a:lumMod val="65000"/>
          </a:schemeClr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</a:t>
          </a:r>
        </a:p>
      </xdr:txBody>
    </xdr:sp>
    <xdr:clientData/>
  </xdr:twoCellAnchor>
  <xdr:twoCellAnchor editAs="absolute">
    <xdr:from>
      <xdr:col>2</xdr:col>
      <xdr:colOff>104775</xdr:colOff>
      <xdr:row>1</xdr:row>
      <xdr:rowOff>0</xdr:rowOff>
    </xdr:from>
    <xdr:to>
      <xdr:col>2</xdr:col>
      <xdr:colOff>1152526</xdr:colOff>
      <xdr:row>3</xdr:row>
      <xdr:rowOff>0</xdr:rowOff>
    </xdr:to>
    <xdr:sp macro="" textlink="">
      <xdr:nvSpPr>
        <xdr:cNvPr id="12" name="Botão Fator R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438275" y="514350"/>
          <a:ext cx="1047751" cy="333375"/>
        </a:xfrm>
        <a:prstGeom prst="foldedCorner">
          <a:avLst>
            <a:gd name="adj" fmla="val 26624"/>
          </a:avLst>
        </a:prstGeom>
        <a:solidFill>
          <a:srgbClr val="43525B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FATOR R</a:t>
          </a:r>
        </a:p>
      </xdr:txBody>
    </xdr:sp>
    <xdr:clientData/>
  </xdr:twoCellAnchor>
  <xdr:twoCellAnchor editAs="absolute">
    <xdr:from>
      <xdr:col>1</xdr:col>
      <xdr:colOff>0</xdr:colOff>
      <xdr:row>1</xdr:row>
      <xdr:rowOff>0</xdr:rowOff>
    </xdr:from>
    <xdr:to>
      <xdr:col>2</xdr:col>
      <xdr:colOff>95251</xdr:colOff>
      <xdr:row>3</xdr:row>
      <xdr:rowOff>0</xdr:rowOff>
    </xdr:to>
    <xdr:sp macro="" textlink="">
      <xdr:nvSpPr>
        <xdr:cNvPr id="13" name="Botão Instruçõe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81000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INSTRUÇÕES</a:t>
          </a:r>
        </a:p>
      </xdr:txBody>
    </xdr:sp>
    <xdr:clientData/>
  </xdr:twoCellAnchor>
  <xdr:twoCellAnchor editAs="absolute">
    <xdr:from>
      <xdr:col>7</xdr:col>
      <xdr:colOff>1679</xdr:colOff>
      <xdr:row>6</xdr:row>
      <xdr:rowOff>0</xdr:rowOff>
    </xdr:from>
    <xdr:to>
      <xdr:col>15</xdr:col>
      <xdr:colOff>0</xdr:colOff>
      <xdr:row>37</xdr:row>
      <xdr:rowOff>123265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23503" y="1467971"/>
          <a:ext cx="6228791" cy="67571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>
            <a:lnSpc>
              <a:spcPct val="150000"/>
            </a:lnSpc>
            <a:spcAft>
              <a:spcPts val="1200"/>
            </a:spcAft>
          </a:pPr>
          <a:r>
            <a:rPr lang="pt-BR" sz="1600" b="1" spc="40" baseline="0">
              <a:solidFill>
                <a:srgbClr val="3C88A6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Fator R - Alteração para o Anexo III</a:t>
          </a:r>
        </a:p>
        <a:p>
          <a:pPr algn="just">
            <a:lnSpc>
              <a:spcPct val="150000"/>
            </a:lnSpc>
            <a:spcAft>
              <a:spcPts val="1200"/>
            </a:spcAft>
          </a:pPr>
          <a:r>
            <a:rPr lang="pt-BR" sz="1200" b="0" spc="4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 A partir de 01.01.2018, as atividades relacionadas no </a:t>
          </a:r>
          <a:r>
            <a:rPr lang="pt-BR" sz="1200" b="1" spc="4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Anexo V</a:t>
          </a:r>
          <a:r>
            <a:rPr lang="pt-BR" sz="1200" b="0" spc="4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 passarão a ser tributadas no </a:t>
          </a:r>
          <a:r>
            <a:rPr lang="pt-BR" sz="1200" b="1" spc="4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Anexo III</a:t>
          </a:r>
          <a:r>
            <a:rPr lang="pt-BR" sz="1200" b="0" spc="4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 quando a razão entre a folha de pagamento e a receita bruta dos últimos 12 meses for igual ou superior a 28%.</a:t>
          </a:r>
        </a:p>
        <a:p>
          <a:pPr algn="just">
            <a:lnSpc>
              <a:spcPct val="150000"/>
            </a:lnSpc>
            <a:spcAft>
              <a:spcPts val="1200"/>
            </a:spcAft>
          </a:pPr>
          <a:r>
            <a:rPr lang="pt-BR" sz="1200" b="1" spc="4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Exemplo:</a:t>
          </a:r>
        </a:p>
        <a:p>
          <a:pPr algn="just">
            <a:lnSpc>
              <a:spcPct val="150000"/>
            </a:lnSpc>
            <a:spcAft>
              <a:spcPts val="1200"/>
            </a:spcAft>
          </a:pPr>
          <a:r>
            <a:rPr lang="pt-BR" sz="1200" b="0" i="0" spc="4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Empresa tem custo de folha de pagamento de R$ 10.000,00 e receita auferida de R$ 100.000,00: a razão entre estes valores é de 10% [ (10.000,00 / 100.000,00) x 100 ]</a:t>
          </a:r>
        </a:p>
        <a:p>
          <a:pPr algn="just">
            <a:lnSpc>
              <a:spcPct val="150000"/>
            </a:lnSpc>
            <a:spcAft>
              <a:spcPts val="1200"/>
            </a:spcAft>
          </a:pPr>
          <a:r>
            <a:rPr lang="pt-BR" sz="1200" b="0" i="0" spc="4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Para que esta empresa tribute a receita no </a:t>
          </a:r>
          <a:r>
            <a:rPr lang="pt-BR" sz="1200" b="1" i="0" spc="4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Anexo III</a:t>
          </a:r>
          <a:r>
            <a:rPr lang="pt-BR" sz="1200" b="0" i="0" spc="4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os valores de custo de folha de pagamento de R$ 10.000,00 e receita auferida de R$ 34.000,00: a razão entre estes valores é de 29% [ (10.000,00 / 34.000,00) x 100 ]</a:t>
          </a:r>
        </a:p>
        <a:p>
          <a:pPr algn="just">
            <a:lnSpc>
              <a:spcPct val="150000"/>
            </a:lnSpc>
            <a:spcAft>
              <a:spcPts val="1200"/>
            </a:spcAft>
          </a:pPr>
          <a:endParaRPr lang="pt-BR" sz="1200" b="0" i="0" spc="40" baseline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just">
            <a:lnSpc>
              <a:spcPct val="150000"/>
            </a:lnSpc>
            <a:spcAft>
              <a:spcPts val="1200"/>
            </a:spcAft>
          </a:pPr>
          <a:r>
            <a:rPr lang="pt-BR" sz="1200" b="0" spc="4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 a diminuição do faturamento (neste exemplo), a razão entre os dois valores aumenta e com isto a receita passa a ser tributada no </a:t>
          </a:r>
          <a:r>
            <a:rPr lang="pt-BR" sz="1200" b="1" spc="4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Anexo III</a:t>
          </a:r>
          <a:r>
            <a:rPr lang="pt-BR" sz="1200" b="0" spc="4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algn="just">
            <a:lnSpc>
              <a:spcPct val="150000"/>
            </a:lnSpc>
            <a:spcAft>
              <a:spcPts val="1200"/>
            </a:spcAft>
          </a:pPr>
          <a:r>
            <a:rPr lang="pt-BR" sz="1200" b="0" spc="4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 cada mês é necessário calcular novamente o Fator R para saber se irá tributar no </a:t>
          </a:r>
          <a:r>
            <a:rPr lang="pt-BR" sz="1200" b="1" spc="4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Anexo V</a:t>
          </a:r>
          <a:r>
            <a:rPr lang="pt-BR" sz="1200" b="0" spc="4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 ou no </a:t>
          </a:r>
          <a:r>
            <a:rPr lang="pt-BR" sz="1200" b="1" spc="4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Anexo III</a:t>
          </a:r>
          <a:r>
            <a:rPr lang="pt-BR" sz="1200" b="0" spc="4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 com redução do imposto sobre o faturamento.</a:t>
          </a:r>
        </a:p>
      </xdr:txBody>
    </xdr:sp>
    <xdr:clientData/>
  </xdr:twoCellAnchor>
  <xdr:twoCellAnchor editAs="absolute">
    <xdr:from>
      <xdr:col>14</xdr:col>
      <xdr:colOff>285750</xdr:colOff>
      <xdr:row>0</xdr:row>
      <xdr:rowOff>0</xdr:rowOff>
    </xdr:from>
    <xdr:to>
      <xdr:col>14</xdr:col>
      <xdr:colOff>1595334</xdr:colOff>
      <xdr:row>1</xdr:row>
      <xdr:rowOff>0</xdr:rowOff>
    </xdr:to>
    <xdr:pic>
      <xdr:nvPicPr>
        <xdr:cNvPr id="14" name="Log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0950" y="0"/>
          <a:ext cx="1317428" cy="514350"/>
        </a:xfrm>
        <a:prstGeom prst="rect">
          <a:avLst/>
        </a:prstGeom>
      </xdr:spPr>
    </xdr:pic>
    <xdr:clientData/>
  </xdr:twoCellAnchor>
  <xdr:twoCellAnchor editAs="absolute">
    <xdr:from>
      <xdr:col>0</xdr:col>
      <xdr:colOff>73568</xdr:colOff>
      <xdr:row>6</xdr:row>
      <xdr:rowOff>552407</xdr:rowOff>
    </xdr:from>
    <xdr:to>
      <xdr:col>1</xdr:col>
      <xdr:colOff>60100</xdr:colOff>
      <xdr:row>7</xdr:row>
      <xdr:rowOff>157743</xdr:rowOff>
    </xdr:to>
    <xdr:sp macro="" textlink="">
      <xdr:nvSpPr>
        <xdr:cNvPr id="15" name="Seta: Mês Referência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 rot="18034129">
          <a:off x="62460" y="2020280"/>
          <a:ext cx="389747" cy="367532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7</xdr:col>
      <xdr:colOff>1</xdr:colOff>
      <xdr:row>10</xdr:row>
      <xdr:rowOff>179296</xdr:rowOff>
    </xdr:from>
    <xdr:to>
      <xdr:col>15</xdr:col>
      <xdr:colOff>1</xdr:colOff>
      <xdr:row>22</xdr:row>
      <xdr:rowOff>89646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21825" y="2969560"/>
          <a:ext cx="6230470" cy="254373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3</xdr:col>
      <xdr:colOff>88134</xdr:colOff>
      <xdr:row>11</xdr:row>
      <xdr:rowOff>37372</xdr:rowOff>
    </xdr:from>
    <xdr:to>
      <xdr:col>3</xdr:col>
      <xdr:colOff>254066</xdr:colOff>
      <xdr:row>11</xdr:row>
      <xdr:rowOff>321299</xdr:rowOff>
    </xdr:to>
    <xdr:sp macro="" textlink="">
      <xdr:nvSpPr>
        <xdr:cNvPr id="18" name="Seta: Mês Referência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 rot="16200000">
          <a:off x="2572871" y="2752164"/>
          <a:ext cx="283927" cy="165932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18</xdr:row>
      <xdr:rowOff>0</xdr:rowOff>
    </xdr:from>
    <xdr:to>
      <xdr:col>14</xdr:col>
      <xdr:colOff>285751</xdr:colOff>
      <xdr:row>21</xdr:row>
      <xdr:rowOff>9525</xdr:rowOff>
    </xdr:to>
    <xdr:graphicFrame macro="">
      <xdr:nvGraphicFramePr>
        <xdr:cNvPr id="5" name="Gráfico Barra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0</xdr:colOff>
      <xdr:row>18</xdr:row>
      <xdr:rowOff>0</xdr:rowOff>
    </xdr:from>
    <xdr:to>
      <xdr:col>6</xdr:col>
      <xdr:colOff>758642</xdr:colOff>
      <xdr:row>19</xdr:row>
      <xdr:rowOff>11206</xdr:rowOff>
    </xdr:to>
    <xdr:sp macro="" textlink="SUPORTE!Q8">
      <xdr:nvSpPr>
        <xdr:cNvPr id="6" name="Faixa Atual Valor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010025" y="3581400"/>
          <a:ext cx="1177742" cy="4017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l"/>
          <a:fld id="{7FEA0B33-8CB5-4C81-9243-CD624F2299DA}" type="TxLink">
            <a:rPr lang="en-US" sz="1200" b="0" i="0" u="none" strike="noStrike">
              <a:solidFill>
                <a:srgbClr val="43525B"/>
              </a:solidFill>
              <a:latin typeface="Calibri"/>
              <a:ea typeface="+mn-ea"/>
              <a:cs typeface="Calibri"/>
            </a:rPr>
            <a:pPr marL="0" indent="0" algn="l"/>
            <a:t>0,00</a:t>
          </a:fld>
          <a:endParaRPr lang="pt-BR" sz="1200" b="0" i="0" u="none" strike="noStrike">
            <a:solidFill>
              <a:srgbClr val="43525B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3</xdr:col>
      <xdr:colOff>1228724</xdr:colOff>
      <xdr:row>19</xdr:row>
      <xdr:rowOff>0</xdr:rowOff>
    </xdr:from>
    <xdr:to>
      <xdr:col>5</xdr:col>
      <xdr:colOff>0</xdr:colOff>
      <xdr:row>20</xdr:row>
      <xdr:rowOff>0</xdr:rowOff>
    </xdr:to>
    <xdr:sp macro="" textlink="SUPORTE!Q6">
      <xdr:nvSpPr>
        <xdr:cNvPr id="9" name="Faixa Atual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638549" y="3981450"/>
          <a:ext cx="371476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fld id="{978F7072-946D-49E1-8031-317C97377654}" type="TxLink">
            <a:rPr lang="en-US" sz="2000" b="0" i="0" u="none" strike="noStrike">
              <a:solidFill>
                <a:srgbClr val="3C88A6"/>
              </a:solidFill>
              <a:latin typeface="Calibri"/>
              <a:ea typeface="+mn-ea"/>
              <a:cs typeface="Calibri"/>
            </a:rPr>
            <a:pPr marL="0" indent="0" algn="r"/>
            <a:t>1</a:t>
          </a:fld>
          <a:endParaRPr lang="pt-BR" sz="4400" b="1" i="0" u="none" strike="noStrike">
            <a:solidFill>
              <a:srgbClr val="3C88A6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13</xdr:col>
      <xdr:colOff>0</xdr:colOff>
      <xdr:row>18</xdr:row>
      <xdr:rowOff>0</xdr:rowOff>
    </xdr:from>
    <xdr:to>
      <xdr:col>13</xdr:col>
      <xdr:colOff>962024</xdr:colOff>
      <xdr:row>19</xdr:row>
      <xdr:rowOff>44823</xdr:rowOff>
    </xdr:to>
    <xdr:sp macro="" textlink="SUPORTE!Q9">
      <xdr:nvSpPr>
        <xdr:cNvPr id="7" name="Próxima Faixa Valor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1344275" y="3590925"/>
          <a:ext cx="962024" cy="4353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r"/>
          <a:fld id="{25DFE442-DA05-4528-B194-778AF547D70A}" type="TxLink">
            <a:rPr lang="en-US" sz="1200" b="0" i="0" u="none" strike="noStrike">
              <a:solidFill>
                <a:srgbClr val="43525B"/>
              </a:solidFill>
              <a:latin typeface="Calibri"/>
              <a:ea typeface="+mn-ea"/>
              <a:cs typeface="Calibri"/>
            </a:rPr>
            <a:pPr marL="0" indent="0" algn="r"/>
            <a:t>180.000,00</a:t>
          </a:fld>
          <a:endParaRPr lang="pt-BR" sz="1200" b="0" i="0" u="none" strike="noStrike">
            <a:solidFill>
              <a:srgbClr val="43525B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14</xdr:col>
      <xdr:colOff>0</xdr:colOff>
      <xdr:row>19</xdr:row>
      <xdr:rowOff>0</xdr:rowOff>
    </xdr:from>
    <xdr:to>
      <xdr:col>15</xdr:col>
      <xdr:colOff>56029</xdr:colOff>
      <xdr:row>20</xdr:row>
      <xdr:rowOff>0</xdr:rowOff>
    </xdr:to>
    <xdr:sp macro="" textlink="SUPORTE!Q7">
      <xdr:nvSpPr>
        <xdr:cNvPr id="10" name="Próxima Faixa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2819529" y="4616824"/>
          <a:ext cx="1972235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fld id="{25EF9E70-A390-4F48-B343-3F1DB7DBF410}" type="TxLink">
            <a:rPr lang="en-US" sz="2000" b="0" i="0" u="none" strike="noStrike">
              <a:solidFill>
                <a:srgbClr val="3C88A6"/>
              </a:solidFill>
              <a:latin typeface="Calibri"/>
              <a:ea typeface="+mn-ea"/>
              <a:cs typeface="Calibri"/>
            </a:rPr>
            <a:pPr marL="0" indent="0" algn="l"/>
            <a:t>2</a:t>
          </a:fld>
          <a:endParaRPr lang="pt-BR" sz="4400" b="1" i="0" u="none" strike="noStrike">
            <a:solidFill>
              <a:srgbClr val="3C88A6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5</xdr:col>
      <xdr:colOff>0</xdr:colOff>
      <xdr:row>18</xdr:row>
      <xdr:rowOff>0</xdr:rowOff>
    </xdr:from>
    <xdr:to>
      <xdr:col>14</xdr:col>
      <xdr:colOff>1</xdr:colOff>
      <xdr:row>19</xdr:row>
      <xdr:rowOff>0</xdr:rowOff>
    </xdr:to>
    <xdr:sp macro="" textlink="">
      <xdr:nvSpPr>
        <xdr:cNvPr id="8" name="Titulo Barr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010025" y="3448050"/>
          <a:ext cx="8867776" cy="390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800" b="0" i="0" u="none" strike="noStrike" cap="small">
              <a:solidFill>
                <a:srgbClr val="43525B"/>
              </a:solidFill>
              <a:latin typeface="Calibri"/>
              <a:cs typeface="Calibri"/>
            </a:rPr>
            <a:t>Porcentagem</a:t>
          </a:r>
          <a:r>
            <a:rPr lang="en-US" sz="1800" b="0" i="0" u="none" strike="noStrike" cap="small" baseline="0">
              <a:solidFill>
                <a:srgbClr val="43525B"/>
              </a:solidFill>
              <a:latin typeface="Calibri"/>
              <a:cs typeface="Calibri"/>
            </a:rPr>
            <a:t> de Faturamento Total Dentro da Faixa</a:t>
          </a:r>
          <a:endParaRPr lang="en-US" sz="1800" b="0" i="0" u="none" strike="noStrike" cap="small">
            <a:solidFill>
              <a:srgbClr val="43525B"/>
            </a:solidFill>
            <a:latin typeface="Calibri"/>
            <a:cs typeface="Calibri"/>
          </a:endParaRPr>
        </a:p>
      </xdr:txBody>
    </xdr:sp>
    <xdr:clientData/>
  </xdr:twoCellAnchor>
  <xdr:twoCellAnchor editAs="absolute">
    <xdr:from>
      <xdr:col>9</xdr:col>
      <xdr:colOff>479613</xdr:colOff>
      <xdr:row>19</xdr:row>
      <xdr:rowOff>83484</xdr:rowOff>
    </xdr:from>
    <xdr:to>
      <xdr:col>11</xdr:col>
      <xdr:colOff>344582</xdr:colOff>
      <xdr:row>21</xdr:row>
      <xdr:rowOff>61072</xdr:rowOff>
    </xdr:to>
    <xdr:sp macro="" textlink="SUPORTE!Q10">
      <xdr:nvSpPr>
        <xdr:cNvPr id="12" name="A Faturar valor Barra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7975788" y="4445934"/>
          <a:ext cx="1789019" cy="3585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l"/>
          <a:fld id="{0C6251AA-9949-4E1F-B5F1-4CB29C18C4C2}" type="TxLink">
            <a:rPr lang="en-US" sz="1200" b="0" i="0" u="none" strike="noStrike">
              <a:solidFill>
                <a:srgbClr val="3C88A6"/>
              </a:solidFill>
              <a:latin typeface="Calibri"/>
              <a:ea typeface="+mn-ea"/>
              <a:cs typeface="Calibri"/>
            </a:rPr>
            <a:pPr marL="0" indent="0" algn="l"/>
            <a:t>180.000,00</a:t>
          </a:fld>
          <a:endParaRPr lang="pt-BR" sz="1200" b="0" i="0" u="none" strike="noStrike">
            <a:solidFill>
              <a:srgbClr val="3C88A6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7</xdr:col>
      <xdr:colOff>612963</xdr:colOff>
      <xdr:row>19</xdr:row>
      <xdr:rowOff>83484</xdr:rowOff>
    </xdr:from>
    <xdr:to>
      <xdr:col>9</xdr:col>
      <xdr:colOff>477932</xdr:colOff>
      <xdr:row>21</xdr:row>
      <xdr:rowOff>61072</xdr:rowOff>
    </xdr:to>
    <xdr:sp macro="" textlink="SUPORTE!Q4">
      <xdr:nvSpPr>
        <xdr:cNvPr id="15" name="Faturado Valor Barra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6185088" y="4445934"/>
          <a:ext cx="1789019" cy="3585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r"/>
          <a:fld id="{77B0020F-2D43-43F1-AE9C-B25A938F4557}" type="TxLink">
            <a:rPr lang="en-US" sz="1200" b="0" i="0" u="none" strike="noStrike">
              <a:solidFill>
                <a:srgbClr val="3C88A6"/>
              </a:solidFill>
              <a:latin typeface="Calibri"/>
              <a:ea typeface="+mn-ea"/>
              <a:cs typeface="Calibri"/>
            </a:rPr>
            <a:pPr marL="0" indent="0" algn="r"/>
            <a:t>0,00</a:t>
          </a:fld>
          <a:endParaRPr lang="pt-BR" sz="1200" b="0" i="0" u="none" strike="noStrike">
            <a:solidFill>
              <a:srgbClr val="3C88A6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9</xdr:col>
      <xdr:colOff>365313</xdr:colOff>
      <xdr:row>19</xdr:row>
      <xdr:rowOff>83484</xdr:rowOff>
    </xdr:from>
    <xdr:to>
      <xdr:col>9</xdr:col>
      <xdr:colOff>595594</xdr:colOff>
      <xdr:row>21</xdr:row>
      <xdr:rowOff>61072</xdr:rowOff>
    </xdr:to>
    <xdr:sp macro="" textlink="">
      <xdr:nvSpPr>
        <xdr:cNvPr id="16" name="Separador Fat/a Fat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7861488" y="4445934"/>
          <a:ext cx="230281" cy="3585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l"/>
          <a:r>
            <a:rPr lang="en-US" sz="1400" b="0" i="0" u="none" strike="noStrike">
              <a:solidFill>
                <a:srgbClr val="43525B"/>
              </a:solidFill>
              <a:latin typeface="Calibri"/>
              <a:ea typeface="+mn-ea"/>
              <a:cs typeface="Calibri"/>
            </a:rPr>
            <a:t>/</a:t>
          </a:r>
        </a:p>
      </xdr:txBody>
    </xdr:sp>
    <xdr:clientData/>
  </xdr:twoCellAnchor>
  <xdr:twoCellAnchor editAs="absolute">
    <xdr:from>
      <xdr:col>1</xdr:col>
      <xdr:colOff>0</xdr:colOff>
      <xdr:row>1</xdr:row>
      <xdr:rowOff>0</xdr:rowOff>
    </xdr:from>
    <xdr:to>
      <xdr:col>13</xdr:col>
      <xdr:colOff>921683</xdr:colOff>
      <xdr:row>1</xdr:row>
      <xdr:rowOff>0</xdr:rowOff>
    </xdr:to>
    <xdr:cxnSp macro="">
      <xdr:nvCxnSpPr>
        <xdr:cNvPr id="14" name="Linha Títul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H="1">
          <a:off x="381000" y="514350"/>
          <a:ext cx="12496800" cy="0"/>
        </a:xfrm>
        <a:prstGeom prst="line">
          <a:avLst/>
        </a:prstGeom>
        <a:ln w="38100">
          <a:solidFill>
            <a:srgbClr val="3C88A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1029260</xdr:colOff>
      <xdr:row>1</xdr:row>
      <xdr:rowOff>0</xdr:rowOff>
    </xdr:from>
    <xdr:to>
      <xdr:col>8</xdr:col>
      <xdr:colOff>912159</xdr:colOff>
      <xdr:row>3</xdr:row>
      <xdr:rowOff>0</xdr:rowOff>
    </xdr:to>
    <xdr:sp macro="" textlink="">
      <xdr:nvSpPr>
        <xdr:cNvPr id="24" name="Botão Anexo V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6724649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V</a:t>
          </a:r>
        </a:p>
      </xdr:txBody>
    </xdr:sp>
    <xdr:clientData/>
  </xdr:twoCellAnchor>
  <xdr:twoCellAnchor editAs="absolute">
    <xdr:from>
      <xdr:col>6</xdr:col>
      <xdr:colOff>1285874</xdr:colOff>
      <xdr:row>1</xdr:row>
      <xdr:rowOff>0</xdr:rowOff>
    </xdr:from>
    <xdr:to>
      <xdr:col>7</xdr:col>
      <xdr:colOff>1019736</xdr:colOff>
      <xdr:row>3</xdr:row>
      <xdr:rowOff>0</xdr:rowOff>
    </xdr:to>
    <xdr:sp macro="" textlink="">
      <xdr:nvSpPr>
        <xdr:cNvPr id="23" name="Botão Anexo IV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5667374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IV</a:t>
          </a:r>
        </a:p>
      </xdr:txBody>
    </xdr:sp>
    <xdr:clientData/>
  </xdr:twoCellAnchor>
  <xdr:twoCellAnchor editAs="absolute">
    <xdr:from>
      <xdr:col>6</xdr:col>
      <xdr:colOff>228599</xdr:colOff>
      <xdr:row>1</xdr:row>
      <xdr:rowOff>0</xdr:rowOff>
    </xdr:from>
    <xdr:to>
      <xdr:col>6</xdr:col>
      <xdr:colOff>1276350</xdr:colOff>
      <xdr:row>3</xdr:row>
      <xdr:rowOff>0</xdr:rowOff>
    </xdr:to>
    <xdr:sp macro="" textlink="">
      <xdr:nvSpPr>
        <xdr:cNvPr id="22" name="Botão Anexo III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4610099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III</a:t>
          </a:r>
        </a:p>
      </xdr:txBody>
    </xdr:sp>
    <xdr:clientData/>
  </xdr:twoCellAnchor>
  <xdr:twoCellAnchor editAs="absolute">
    <xdr:from>
      <xdr:col>3</xdr:col>
      <xdr:colOff>1371599</xdr:colOff>
      <xdr:row>1</xdr:row>
      <xdr:rowOff>0</xdr:rowOff>
    </xdr:from>
    <xdr:to>
      <xdr:col>6</xdr:col>
      <xdr:colOff>219075</xdr:colOff>
      <xdr:row>3</xdr:row>
      <xdr:rowOff>0</xdr:rowOff>
    </xdr:to>
    <xdr:sp macro="" textlink="">
      <xdr:nvSpPr>
        <xdr:cNvPr id="21" name="Botão Anexo II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3552824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II</a:t>
          </a:r>
        </a:p>
      </xdr:txBody>
    </xdr:sp>
    <xdr:clientData/>
  </xdr:twoCellAnchor>
  <xdr:twoCellAnchor editAs="absolute">
    <xdr:from>
      <xdr:col>3</xdr:col>
      <xdr:colOff>314324</xdr:colOff>
      <xdr:row>1</xdr:row>
      <xdr:rowOff>0</xdr:rowOff>
    </xdr:from>
    <xdr:to>
      <xdr:col>3</xdr:col>
      <xdr:colOff>1362075</xdr:colOff>
      <xdr:row>3</xdr:row>
      <xdr:rowOff>0</xdr:rowOff>
    </xdr:to>
    <xdr:sp macro="" textlink="">
      <xdr:nvSpPr>
        <xdr:cNvPr id="20" name="Botão Anexo I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2495549" y="514350"/>
          <a:ext cx="1047751" cy="333375"/>
        </a:xfrm>
        <a:prstGeom prst="foldedCorner">
          <a:avLst>
            <a:gd name="adj" fmla="val 26624"/>
          </a:avLst>
        </a:prstGeom>
        <a:solidFill>
          <a:srgbClr val="43525B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</a:t>
          </a:r>
        </a:p>
      </xdr:txBody>
    </xdr:sp>
    <xdr:clientData/>
  </xdr:twoCellAnchor>
  <xdr:twoCellAnchor editAs="absolute">
    <xdr:from>
      <xdr:col>2</xdr:col>
      <xdr:colOff>257174</xdr:colOff>
      <xdr:row>1</xdr:row>
      <xdr:rowOff>0</xdr:rowOff>
    </xdr:from>
    <xdr:to>
      <xdr:col>3</xdr:col>
      <xdr:colOff>304800</xdr:colOff>
      <xdr:row>3</xdr:row>
      <xdr:rowOff>0</xdr:rowOff>
    </xdr:to>
    <xdr:sp macro="" textlink="">
      <xdr:nvSpPr>
        <xdr:cNvPr id="19" name="Botão Fator 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438274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FATOR R</a:t>
          </a:r>
        </a:p>
      </xdr:txBody>
    </xdr:sp>
    <xdr:clientData/>
  </xdr:twoCellAnchor>
  <xdr:twoCellAnchor editAs="absolute">
    <xdr:from>
      <xdr:col>0</xdr:col>
      <xdr:colOff>380999</xdr:colOff>
      <xdr:row>1</xdr:row>
      <xdr:rowOff>0</xdr:rowOff>
    </xdr:from>
    <xdr:to>
      <xdr:col>2</xdr:col>
      <xdr:colOff>247650</xdr:colOff>
      <xdr:row>3</xdr:row>
      <xdr:rowOff>0</xdr:rowOff>
    </xdr:to>
    <xdr:sp macro="" textlink="">
      <xdr:nvSpPr>
        <xdr:cNvPr id="2" name="Botão Instruçõe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80999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INSTRUÇÕES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68580</xdr:colOff>
          <xdr:row>7</xdr:row>
          <xdr:rowOff>160020</xdr:rowOff>
        </xdr:from>
        <xdr:to>
          <xdr:col>1</xdr:col>
          <xdr:colOff>693420</xdr:colOff>
          <xdr:row>8</xdr:row>
          <xdr:rowOff>121920</xdr:rowOff>
        </xdr:to>
        <xdr:sp macro="" textlink="">
          <xdr:nvSpPr>
            <xdr:cNvPr id="12289" name="Mês Referência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3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109794</xdr:colOff>
      <xdr:row>6</xdr:row>
      <xdr:rowOff>280990</xdr:rowOff>
    </xdr:from>
    <xdr:to>
      <xdr:col>1</xdr:col>
      <xdr:colOff>96326</xdr:colOff>
      <xdr:row>7</xdr:row>
      <xdr:rowOff>244913</xdr:rowOff>
    </xdr:to>
    <xdr:sp macro="" textlink="">
      <xdr:nvSpPr>
        <xdr:cNvPr id="3" name="Seta: Mês Referênci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18034129">
          <a:off x="121098" y="1184086"/>
          <a:ext cx="344923" cy="367532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12</xdr:col>
      <xdr:colOff>619125</xdr:colOff>
      <xdr:row>0</xdr:row>
      <xdr:rowOff>0</xdr:rowOff>
    </xdr:from>
    <xdr:to>
      <xdr:col>13</xdr:col>
      <xdr:colOff>917377</xdr:colOff>
      <xdr:row>1</xdr:row>
      <xdr:rowOff>0</xdr:rowOff>
    </xdr:to>
    <xdr:pic>
      <xdr:nvPicPr>
        <xdr:cNvPr id="11" name="Log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375" y="0"/>
          <a:ext cx="1317428" cy="514350"/>
        </a:xfrm>
        <a:prstGeom prst="rect">
          <a:avLst/>
        </a:prstGeom>
      </xdr:spPr>
    </xdr:pic>
    <xdr:clientData/>
  </xdr:twoCellAnchor>
  <xdr:twoCellAnchor editAs="absolute">
    <xdr:from>
      <xdr:col>14</xdr:col>
      <xdr:colOff>302559</xdr:colOff>
      <xdr:row>6</xdr:row>
      <xdr:rowOff>0</xdr:rowOff>
    </xdr:from>
    <xdr:to>
      <xdr:col>14</xdr:col>
      <xdr:colOff>1524000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pSpPr/>
      </xdr:nvGrpSpPr>
      <xdr:grpSpPr>
        <a:xfrm>
          <a:off x="13642041" y="1443318"/>
          <a:ext cx="1221441" cy="753035"/>
          <a:chOff x="7149353" y="4250317"/>
          <a:chExt cx="2892889" cy="758167"/>
        </a:xfrm>
      </xdr:grpSpPr>
      <xdr:sp macro="" textlink="">
        <xdr:nvSpPr>
          <xdr:cNvPr id="26" name="Retângulo 25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/>
        </xdr:nvSpPr>
        <xdr:spPr>
          <a:xfrm>
            <a:off x="7149353" y="4527176"/>
            <a:ext cx="2892889" cy="481308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just"/>
            <a:endParaRPr lang="pt-BR" sz="1100">
              <a:solidFill>
                <a:srgbClr val="43525B"/>
              </a:solidFill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290" name="Drop Down 2" hidden="1">
                <a:extLst>
                  <a:ext uri="{63B3BB69-23CF-44E3-9099-C40C66FF867C}">
                    <a14:compatExt spid="_x0000_s12290"/>
                  </a:ext>
                  <a:ext uri="{FF2B5EF4-FFF2-40B4-BE49-F238E27FC236}">
                    <a16:creationId xmlns:a16="http://schemas.microsoft.com/office/drawing/2014/main" id="{00000000-0008-0000-0300-000002300000}"/>
                  </a:ext>
                </a:extLst>
              </xdr:cNvPr>
              <xdr:cNvSpPr/>
            </xdr:nvSpPr>
            <xdr:spPr bwMode="auto">
              <a:xfrm>
                <a:off x="7547456" y="4629399"/>
                <a:ext cx="2123220" cy="28014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7" name="Retângulo 26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/>
        </xdr:nvSpPr>
        <xdr:spPr>
          <a:xfrm>
            <a:off x="7149353" y="4250317"/>
            <a:ext cx="2892889" cy="268642"/>
          </a:xfrm>
          <a:prstGeom prst="rect">
            <a:avLst/>
          </a:prstGeom>
          <a:solidFill>
            <a:srgbClr val="3C88A6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ISENÇÃO</a:t>
            </a:r>
            <a:r>
              <a:rPr lang="pt-BR" sz="1100" baseline="0"/>
              <a:t> DE ICMS</a:t>
            </a:r>
            <a:endParaRPr lang="pt-BR" sz="1100"/>
          </a:p>
        </xdr:txBody>
      </xdr:sp>
    </xdr:grpSp>
    <xdr:clientData/>
  </xdr:twoCellAnchor>
  <xdr:twoCellAnchor editAs="absolute">
    <xdr:from>
      <xdr:col>4</xdr:col>
      <xdr:colOff>24092</xdr:colOff>
      <xdr:row>21</xdr:row>
      <xdr:rowOff>0</xdr:rowOff>
    </xdr:from>
    <xdr:to>
      <xdr:col>14</xdr:col>
      <xdr:colOff>0</xdr:colOff>
      <xdr:row>32</xdr:row>
      <xdr:rowOff>49306</xdr:rowOff>
    </xdr:to>
    <xdr:graphicFrame macro="">
      <xdr:nvGraphicFramePr>
        <xdr:cNvPr id="30" name="Gráfico Geral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18</xdr:row>
      <xdr:rowOff>0</xdr:rowOff>
    </xdr:from>
    <xdr:to>
      <xdr:col>14</xdr:col>
      <xdr:colOff>285751</xdr:colOff>
      <xdr:row>21</xdr:row>
      <xdr:rowOff>9525</xdr:rowOff>
    </xdr:to>
    <xdr:graphicFrame macro="">
      <xdr:nvGraphicFramePr>
        <xdr:cNvPr id="3" name="Gráfico Barra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0</xdr:colOff>
      <xdr:row>18</xdr:row>
      <xdr:rowOff>0</xdr:rowOff>
    </xdr:from>
    <xdr:to>
      <xdr:col>6</xdr:col>
      <xdr:colOff>758642</xdr:colOff>
      <xdr:row>19</xdr:row>
      <xdr:rowOff>11206</xdr:rowOff>
    </xdr:to>
    <xdr:sp macro="" textlink="SUPORTE!Q8">
      <xdr:nvSpPr>
        <xdr:cNvPr id="4" name="Faixa Atual Valor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62400" y="3943350"/>
          <a:ext cx="1177742" cy="4017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l"/>
          <a:fld id="{7FEA0B33-8CB5-4C81-9243-CD624F2299DA}" type="TxLink">
            <a:rPr lang="en-US" sz="1200" b="0" i="0" u="none" strike="noStrike">
              <a:solidFill>
                <a:srgbClr val="43525B"/>
              </a:solidFill>
              <a:latin typeface="Calibri"/>
              <a:ea typeface="+mn-ea"/>
              <a:cs typeface="Calibri"/>
            </a:rPr>
            <a:pPr marL="0" indent="0" algn="l"/>
            <a:t>0,00</a:t>
          </a:fld>
          <a:endParaRPr lang="pt-BR" sz="1200" b="0" i="0" u="none" strike="noStrike">
            <a:solidFill>
              <a:srgbClr val="43525B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13</xdr:col>
      <xdr:colOff>0</xdr:colOff>
      <xdr:row>18</xdr:row>
      <xdr:rowOff>0</xdr:rowOff>
    </xdr:from>
    <xdr:to>
      <xdr:col>13</xdr:col>
      <xdr:colOff>962024</xdr:colOff>
      <xdr:row>19</xdr:row>
      <xdr:rowOff>44823</xdr:rowOff>
    </xdr:to>
    <xdr:sp macro="" textlink="SUPORTE!Q9">
      <xdr:nvSpPr>
        <xdr:cNvPr id="6" name="Próxima Faixa Valor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1811000" y="3943350"/>
          <a:ext cx="962024" cy="4353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r"/>
          <a:fld id="{25DFE442-DA05-4528-B194-778AF547D70A}" type="TxLink">
            <a:rPr lang="en-US" sz="1200" b="0" i="0" u="none" strike="noStrike">
              <a:solidFill>
                <a:srgbClr val="43525B"/>
              </a:solidFill>
              <a:latin typeface="Calibri"/>
              <a:ea typeface="+mn-ea"/>
              <a:cs typeface="Calibri"/>
            </a:rPr>
            <a:pPr marL="0" indent="0" algn="r"/>
            <a:t>180.000,00</a:t>
          </a:fld>
          <a:endParaRPr lang="pt-BR" sz="1200" b="0" i="0" u="none" strike="noStrike">
            <a:solidFill>
              <a:srgbClr val="43525B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5</xdr:col>
      <xdr:colOff>0</xdr:colOff>
      <xdr:row>18</xdr:row>
      <xdr:rowOff>0</xdr:rowOff>
    </xdr:from>
    <xdr:to>
      <xdr:col>14</xdr:col>
      <xdr:colOff>1</xdr:colOff>
      <xdr:row>19</xdr:row>
      <xdr:rowOff>0</xdr:rowOff>
    </xdr:to>
    <xdr:sp macro="" textlink="">
      <xdr:nvSpPr>
        <xdr:cNvPr id="8" name="Titulo Barra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3962400" y="3943350"/>
          <a:ext cx="8867776" cy="390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800" b="0" i="0" u="none" strike="noStrike" cap="small">
              <a:solidFill>
                <a:srgbClr val="43525B"/>
              </a:solidFill>
              <a:latin typeface="Calibri"/>
              <a:cs typeface="Calibri"/>
            </a:rPr>
            <a:t>Porcentagem</a:t>
          </a:r>
          <a:r>
            <a:rPr lang="en-US" sz="1800" b="0" i="0" u="none" strike="noStrike" cap="small" baseline="0">
              <a:solidFill>
                <a:srgbClr val="43525B"/>
              </a:solidFill>
              <a:latin typeface="Calibri"/>
              <a:cs typeface="Calibri"/>
            </a:rPr>
            <a:t> de Faturamento Total Dentro da Faixa</a:t>
          </a:r>
          <a:endParaRPr lang="en-US" sz="1800" b="0" i="0" u="none" strike="noStrike" cap="small">
            <a:solidFill>
              <a:srgbClr val="43525B"/>
            </a:solidFill>
            <a:latin typeface="Calibri"/>
            <a:cs typeface="Calibri"/>
          </a:endParaRPr>
        </a:p>
      </xdr:txBody>
    </xdr:sp>
    <xdr:clientData/>
  </xdr:twoCellAnchor>
  <xdr:twoCellAnchor editAs="absolute">
    <xdr:from>
      <xdr:col>9</xdr:col>
      <xdr:colOff>479613</xdr:colOff>
      <xdr:row>19</xdr:row>
      <xdr:rowOff>83484</xdr:rowOff>
    </xdr:from>
    <xdr:to>
      <xdr:col>11</xdr:col>
      <xdr:colOff>344582</xdr:colOff>
      <xdr:row>21</xdr:row>
      <xdr:rowOff>61072</xdr:rowOff>
    </xdr:to>
    <xdr:sp macro="" textlink="SUPORTE!Q10">
      <xdr:nvSpPr>
        <xdr:cNvPr id="9" name="A Faturar valor Barra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8213913" y="4417359"/>
          <a:ext cx="1903319" cy="3585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l"/>
          <a:fld id="{0C6251AA-9949-4E1F-B5F1-4CB29C18C4C2}" type="TxLink">
            <a:rPr lang="en-US" sz="1200" b="0" i="0" u="none" strike="noStrike">
              <a:solidFill>
                <a:srgbClr val="3C88A6"/>
              </a:solidFill>
              <a:latin typeface="Calibri"/>
              <a:ea typeface="+mn-ea"/>
              <a:cs typeface="Calibri"/>
            </a:rPr>
            <a:pPr marL="0" indent="0" algn="l"/>
            <a:t>180.000,00</a:t>
          </a:fld>
          <a:endParaRPr lang="pt-BR" sz="1200" b="0" i="0" u="none" strike="noStrike">
            <a:solidFill>
              <a:srgbClr val="3C88A6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7</xdr:col>
      <xdr:colOff>612963</xdr:colOff>
      <xdr:row>19</xdr:row>
      <xdr:rowOff>83484</xdr:rowOff>
    </xdr:from>
    <xdr:to>
      <xdr:col>9</xdr:col>
      <xdr:colOff>477932</xdr:colOff>
      <xdr:row>21</xdr:row>
      <xdr:rowOff>61072</xdr:rowOff>
    </xdr:to>
    <xdr:sp macro="" textlink="SUPORTE!Q4">
      <xdr:nvSpPr>
        <xdr:cNvPr id="10" name="Faturado Valor Barra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6308913" y="4417359"/>
          <a:ext cx="1903319" cy="3585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r"/>
          <a:fld id="{77B0020F-2D43-43F1-AE9C-B25A938F4557}" type="TxLink">
            <a:rPr lang="en-US" sz="1200" b="0" i="0" u="none" strike="noStrike">
              <a:solidFill>
                <a:srgbClr val="3C88A6"/>
              </a:solidFill>
              <a:latin typeface="Calibri"/>
              <a:ea typeface="+mn-ea"/>
              <a:cs typeface="Calibri"/>
            </a:rPr>
            <a:pPr marL="0" indent="0" algn="r"/>
            <a:t>0,00</a:t>
          </a:fld>
          <a:endParaRPr lang="pt-BR" sz="1200" b="0" i="0" u="none" strike="noStrike">
            <a:solidFill>
              <a:srgbClr val="3C88A6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9</xdr:col>
      <xdr:colOff>365313</xdr:colOff>
      <xdr:row>19</xdr:row>
      <xdr:rowOff>83484</xdr:rowOff>
    </xdr:from>
    <xdr:to>
      <xdr:col>9</xdr:col>
      <xdr:colOff>595594</xdr:colOff>
      <xdr:row>21</xdr:row>
      <xdr:rowOff>61072</xdr:rowOff>
    </xdr:to>
    <xdr:sp macro="" textlink="">
      <xdr:nvSpPr>
        <xdr:cNvPr id="11" name="Separador Fat/a Fat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8099613" y="4417359"/>
          <a:ext cx="230281" cy="3585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l"/>
          <a:r>
            <a:rPr lang="en-US" sz="1400" b="0" i="0" u="none" strike="noStrike">
              <a:solidFill>
                <a:srgbClr val="43525B"/>
              </a:solidFill>
              <a:latin typeface="Calibri"/>
              <a:ea typeface="+mn-ea"/>
              <a:cs typeface="Calibri"/>
            </a:rPr>
            <a:t>/</a:t>
          </a:r>
        </a:p>
      </xdr:txBody>
    </xdr:sp>
    <xdr:clientData/>
  </xdr:twoCellAnchor>
  <xdr:twoCellAnchor editAs="absolute">
    <xdr:from>
      <xdr:col>1</xdr:col>
      <xdr:colOff>0</xdr:colOff>
      <xdr:row>1</xdr:row>
      <xdr:rowOff>0</xdr:rowOff>
    </xdr:from>
    <xdr:to>
      <xdr:col>13</xdr:col>
      <xdr:colOff>921683</xdr:colOff>
      <xdr:row>1</xdr:row>
      <xdr:rowOff>0</xdr:rowOff>
    </xdr:to>
    <xdr:cxnSp macro="">
      <xdr:nvCxnSpPr>
        <xdr:cNvPr id="12" name="Linha Títul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flipH="1">
          <a:off x="381000" y="514350"/>
          <a:ext cx="12496800" cy="0"/>
        </a:xfrm>
        <a:prstGeom prst="line">
          <a:avLst/>
        </a:prstGeom>
        <a:ln w="38100">
          <a:solidFill>
            <a:srgbClr val="3C88A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1029260</xdr:colOff>
      <xdr:row>1</xdr:row>
      <xdr:rowOff>0</xdr:rowOff>
    </xdr:from>
    <xdr:to>
      <xdr:col>8</xdr:col>
      <xdr:colOff>912159</xdr:colOff>
      <xdr:row>3</xdr:row>
      <xdr:rowOff>0</xdr:rowOff>
    </xdr:to>
    <xdr:sp macro="" textlink="">
      <xdr:nvSpPr>
        <xdr:cNvPr id="13" name="Botão Anexo V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6724649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V</a:t>
          </a:r>
        </a:p>
      </xdr:txBody>
    </xdr:sp>
    <xdr:clientData/>
  </xdr:twoCellAnchor>
  <xdr:twoCellAnchor editAs="absolute">
    <xdr:from>
      <xdr:col>6</xdr:col>
      <xdr:colOff>1285874</xdr:colOff>
      <xdr:row>1</xdr:row>
      <xdr:rowOff>0</xdr:rowOff>
    </xdr:from>
    <xdr:to>
      <xdr:col>7</xdr:col>
      <xdr:colOff>1019736</xdr:colOff>
      <xdr:row>3</xdr:row>
      <xdr:rowOff>0</xdr:rowOff>
    </xdr:to>
    <xdr:sp macro="" textlink="">
      <xdr:nvSpPr>
        <xdr:cNvPr id="14" name="Botão Anexo IV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5667374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IV</a:t>
          </a:r>
        </a:p>
      </xdr:txBody>
    </xdr:sp>
    <xdr:clientData/>
  </xdr:twoCellAnchor>
  <xdr:twoCellAnchor editAs="absolute">
    <xdr:from>
      <xdr:col>6</xdr:col>
      <xdr:colOff>228599</xdr:colOff>
      <xdr:row>1</xdr:row>
      <xdr:rowOff>0</xdr:rowOff>
    </xdr:from>
    <xdr:to>
      <xdr:col>6</xdr:col>
      <xdr:colOff>1276350</xdr:colOff>
      <xdr:row>3</xdr:row>
      <xdr:rowOff>0</xdr:rowOff>
    </xdr:to>
    <xdr:sp macro="" textlink="">
      <xdr:nvSpPr>
        <xdr:cNvPr id="15" name="Botão Anexo III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4610099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III</a:t>
          </a:r>
        </a:p>
      </xdr:txBody>
    </xdr:sp>
    <xdr:clientData/>
  </xdr:twoCellAnchor>
  <xdr:twoCellAnchor editAs="absolute">
    <xdr:from>
      <xdr:col>3</xdr:col>
      <xdr:colOff>1371599</xdr:colOff>
      <xdr:row>1</xdr:row>
      <xdr:rowOff>0</xdr:rowOff>
    </xdr:from>
    <xdr:to>
      <xdr:col>6</xdr:col>
      <xdr:colOff>219075</xdr:colOff>
      <xdr:row>3</xdr:row>
      <xdr:rowOff>0</xdr:rowOff>
    </xdr:to>
    <xdr:sp macro="" textlink="">
      <xdr:nvSpPr>
        <xdr:cNvPr id="16" name="Botão Anexo II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3552824" y="514350"/>
          <a:ext cx="1047751" cy="333375"/>
        </a:xfrm>
        <a:prstGeom prst="foldedCorner">
          <a:avLst>
            <a:gd name="adj" fmla="val 26624"/>
          </a:avLst>
        </a:prstGeom>
        <a:solidFill>
          <a:srgbClr val="43525B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II</a:t>
          </a:r>
        </a:p>
      </xdr:txBody>
    </xdr:sp>
    <xdr:clientData/>
  </xdr:twoCellAnchor>
  <xdr:twoCellAnchor editAs="absolute">
    <xdr:from>
      <xdr:col>3</xdr:col>
      <xdr:colOff>314324</xdr:colOff>
      <xdr:row>1</xdr:row>
      <xdr:rowOff>0</xdr:rowOff>
    </xdr:from>
    <xdr:to>
      <xdr:col>3</xdr:col>
      <xdr:colOff>1362075</xdr:colOff>
      <xdr:row>3</xdr:row>
      <xdr:rowOff>0</xdr:rowOff>
    </xdr:to>
    <xdr:sp macro="" textlink="">
      <xdr:nvSpPr>
        <xdr:cNvPr id="17" name="Botão Anexo I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2495549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</a:t>
          </a:r>
        </a:p>
      </xdr:txBody>
    </xdr:sp>
    <xdr:clientData/>
  </xdr:twoCellAnchor>
  <xdr:twoCellAnchor editAs="absolute">
    <xdr:from>
      <xdr:col>2</xdr:col>
      <xdr:colOff>257174</xdr:colOff>
      <xdr:row>1</xdr:row>
      <xdr:rowOff>0</xdr:rowOff>
    </xdr:from>
    <xdr:to>
      <xdr:col>3</xdr:col>
      <xdr:colOff>304800</xdr:colOff>
      <xdr:row>3</xdr:row>
      <xdr:rowOff>0</xdr:rowOff>
    </xdr:to>
    <xdr:sp macro="" textlink="">
      <xdr:nvSpPr>
        <xdr:cNvPr id="18" name="Botão Fator 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438274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FATOR R</a:t>
          </a:r>
        </a:p>
      </xdr:txBody>
    </xdr:sp>
    <xdr:clientData/>
  </xdr:twoCellAnchor>
  <xdr:twoCellAnchor editAs="absolute">
    <xdr:from>
      <xdr:col>0</xdr:col>
      <xdr:colOff>380999</xdr:colOff>
      <xdr:row>1</xdr:row>
      <xdr:rowOff>0</xdr:rowOff>
    </xdr:from>
    <xdr:to>
      <xdr:col>2</xdr:col>
      <xdr:colOff>247650</xdr:colOff>
      <xdr:row>3</xdr:row>
      <xdr:rowOff>0</xdr:rowOff>
    </xdr:to>
    <xdr:sp macro="" textlink="">
      <xdr:nvSpPr>
        <xdr:cNvPr id="19" name="Botão Instruçõe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380999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INSTRUÇÕES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68580</xdr:colOff>
          <xdr:row>7</xdr:row>
          <xdr:rowOff>160020</xdr:rowOff>
        </xdr:from>
        <xdr:to>
          <xdr:col>1</xdr:col>
          <xdr:colOff>693420</xdr:colOff>
          <xdr:row>8</xdr:row>
          <xdr:rowOff>121920</xdr:rowOff>
        </xdr:to>
        <xdr:sp macro="" textlink="">
          <xdr:nvSpPr>
            <xdr:cNvPr id="19457" name="Mês Referência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4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109794</xdr:colOff>
      <xdr:row>6</xdr:row>
      <xdr:rowOff>280990</xdr:rowOff>
    </xdr:from>
    <xdr:to>
      <xdr:col>1</xdr:col>
      <xdr:colOff>96326</xdr:colOff>
      <xdr:row>7</xdr:row>
      <xdr:rowOff>244913</xdr:rowOff>
    </xdr:to>
    <xdr:sp macro="" textlink="">
      <xdr:nvSpPr>
        <xdr:cNvPr id="21" name="Seta: Mês Referência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 rot="18034129">
          <a:off x="121098" y="1546036"/>
          <a:ext cx="344923" cy="367532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12</xdr:col>
      <xdr:colOff>619125</xdr:colOff>
      <xdr:row>0</xdr:row>
      <xdr:rowOff>0</xdr:rowOff>
    </xdr:from>
    <xdr:to>
      <xdr:col>13</xdr:col>
      <xdr:colOff>917377</xdr:colOff>
      <xdr:row>1</xdr:row>
      <xdr:rowOff>0</xdr:rowOff>
    </xdr:to>
    <xdr:pic>
      <xdr:nvPicPr>
        <xdr:cNvPr id="22" name="Log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0950" y="0"/>
          <a:ext cx="1317428" cy="514350"/>
        </a:xfrm>
        <a:prstGeom prst="rect">
          <a:avLst/>
        </a:prstGeom>
      </xdr:spPr>
    </xdr:pic>
    <xdr:clientData/>
  </xdr:twoCellAnchor>
  <xdr:twoCellAnchor editAs="absolute">
    <xdr:from>
      <xdr:col>15</xdr:col>
      <xdr:colOff>324971</xdr:colOff>
      <xdr:row>6</xdr:row>
      <xdr:rowOff>0</xdr:rowOff>
    </xdr:from>
    <xdr:to>
      <xdr:col>15</xdr:col>
      <xdr:colOff>1546412</xdr:colOff>
      <xdr:row>8</xdr:row>
      <xdr:rowOff>89647</xdr:rowOff>
    </xdr:to>
    <xdr:grpSp>
      <xdr:nvGrpSpPr>
        <xdr:cNvPr id="23" name="Agrupa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pSpPr/>
      </xdr:nvGrpSpPr>
      <xdr:grpSpPr>
        <a:xfrm>
          <a:off x="14713324" y="1443318"/>
          <a:ext cx="1221441" cy="753035"/>
          <a:chOff x="7149353" y="4250317"/>
          <a:chExt cx="2892889" cy="758167"/>
        </a:xfrm>
      </xdr:grpSpPr>
      <xdr:sp macro="" textlink="">
        <xdr:nvSpPr>
          <xdr:cNvPr id="24" name="Retângulo 23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/>
        </xdr:nvSpPr>
        <xdr:spPr>
          <a:xfrm>
            <a:off x="7149353" y="4527176"/>
            <a:ext cx="2892889" cy="481308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just"/>
            <a:endParaRPr lang="pt-BR" sz="1100">
              <a:solidFill>
                <a:srgbClr val="43525B"/>
              </a:solidFill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9462" name="Drop Down 6" hidden="1">
                <a:extLst>
                  <a:ext uri="{63B3BB69-23CF-44E3-9099-C40C66FF867C}">
                    <a14:compatExt spid="_x0000_s19462"/>
                  </a:ext>
                  <a:ext uri="{FF2B5EF4-FFF2-40B4-BE49-F238E27FC236}">
                    <a16:creationId xmlns:a16="http://schemas.microsoft.com/office/drawing/2014/main" id="{00000000-0008-0000-0400-0000064C0000}"/>
                  </a:ext>
                </a:extLst>
              </xdr:cNvPr>
              <xdr:cNvSpPr/>
            </xdr:nvSpPr>
            <xdr:spPr bwMode="auto">
              <a:xfrm>
                <a:off x="7547456" y="4629399"/>
                <a:ext cx="2123220" cy="28014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6" name="Retângulo 25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7149353" y="4250317"/>
            <a:ext cx="2892889" cy="268642"/>
          </a:xfrm>
          <a:prstGeom prst="rect">
            <a:avLst/>
          </a:prstGeom>
          <a:solidFill>
            <a:srgbClr val="3C88A6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ISENÇÃO</a:t>
            </a:r>
            <a:r>
              <a:rPr lang="pt-BR" sz="1100" baseline="0"/>
              <a:t> DE ICMS</a:t>
            </a:r>
            <a:endParaRPr lang="pt-BR" sz="1100"/>
          </a:p>
        </xdr:txBody>
      </xdr:sp>
    </xdr:grpSp>
    <xdr:clientData/>
  </xdr:twoCellAnchor>
  <xdr:twoCellAnchor editAs="absolute">
    <xdr:from>
      <xdr:col>3</xdr:col>
      <xdr:colOff>1228724</xdr:colOff>
      <xdr:row>19</xdr:row>
      <xdr:rowOff>0</xdr:rowOff>
    </xdr:from>
    <xdr:to>
      <xdr:col>5</xdr:col>
      <xdr:colOff>0</xdr:colOff>
      <xdr:row>20</xdr:row>
      <xdr:rowOff>0</xdr:rowOff>
    </xdr:to>
    <xdr:sp macro="" textlink="SUPORTE!Q6">
      <xdr:nvSpPr>
        <xdr:cNvPr id="27" name="Faixa Atual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3402665" y="4616824"/>
          <a:ext cx="553011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fld id="{978F7072-946D-49E1-8031-317C97377654}" type="TxLink">
            <a:rPr lang="en-US" sz="2000" b="0" i="0" u="none" strike="noStrike">
              <a:solidFill>
                <a:srgbClr val="3C88A6"/>
              </a:solidFill>
              <a:latin typeface="Calibri"/>
              <a:ea typeface="+mn-ea"/>
              <a:cs typeface="Calibri"/>
            </a:rPr>
            <a:pPr marL="0" indent="0" algn="r"/>
            <a:t>1</a:t>
          </a:fld>
          <a:endParaRPr lang="pt-BR" sz="4400" b="1" i="0" u="none" strike="noStrike">
            <a:solidFill>
              <a:srgbClr val="3C88A6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14</xdr:col>
      <xdr:colOff>0</xdr:colOff>
      <xdr:row>19</xdr:row>
      <xdr:rowOff>0</xdr:rowOff>
    </xdr:from>
    <xdr:to>
      <xdr:col>15</xdr:col>
      <xdr:colOff>952499</xdr:colOff>
      <xdr:row>20</xdr:row>
      <xdr:rowOff>0</xdr:rowOff>
    </xdr:to>
    <xdr:sp macro="" textlink="SUPORTE!Q7">
      <xdr:nvSpPr>
        <xdr:cNvPr id="28" name="Próxima Faixa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12819529" y="4616824"/>
          <a:ext cx="1972235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fld id="{25EF9E70-A390-4F48-B343-3F1DB7DBF410}" type="TxLink">
            <a:rPr lang="en-US" sz="2000" b="0" i="0" u="none" strike="noStrike">
              <a:solidFill>
                <a:srgbClr val="3C88A6"/>
              </a:solidFill>
              <a:latin typeface="Calibri"/>
              <a:ea typeface="+mn-ea"/>
              <a:cs typeface="Calibri"/>
            </a:rPr>
            <a:pPr marL="0" indent="0" algn="l"/>
            <a:t>2</a:t>
          </a:fld>
          <a:endParaRPr lang="pt-BR" sz="4400" b="1" i="0" u="none" strike="noStrike">
            <a:solidFill>
              <a:srgbClr val="3C88A6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4</xdr:col>
      <xdr:colOff>24092</xdr:colOff>
      <xdr:row>21</xdr:row>
      <xdr:rowOff>0</xdr:rowOff>
    </xdr:from>
    <xdr:to>
      <xdr:col>14</xdr:col>
      <xdr:colOff>0</xdr:colOff>
      <xdr:row>32</xdr:row>
      <xdr:rowOff>49306</xdr:rowOff>
    </xdr:to>
    <xdr:graphicFrame macro="">
      <xdr:nvGraphicFramePr>
        <xdr:cNvPr id="31" name="Gráfico Geral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18</xdr:row>
      <xdr:rowOff>0</xdr:rowOff>
    </xdr:from>
    <xdr:to>
      <xdr:col>14</xdr:col>
      <xdr:colOff>285751</xdr:colOff>
      <xdr:row>21</xdr:row>
      <xdr:rowOff>9525</xdr:rowOff>
    </xdr:to>
    <xdr:graphicFrame macro="">
      <xdr:nvGraphicFramePr>
        <xdr:cNvPr id="3" name="Gráfico Barra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0</xdr:colOff>
      <xdr:row>18</xdr:row>
      <xdr:rowOff>0</xdr:rowOff>
    </xdr:from>
    <xdr:to>
      <xdr:col>6</xdr:col>
      <xdr:colOff>758642</xdr:colOff>
      <xdr:row>19</xdr:row>
      <xdr:rowOff>11206</xdr:rowOff>
    </xdr:to>
    <xdr:sp macro="" textlink="SUPORTE!Q8">
      <xdr:nvSpPr>
        <xdr:cNvPr id="4" name="Faixa Atual Valor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962400" y="3943350"/>
          <a:ext cx="1177742" cy="4017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l"/>
          <a:fld id="{7FEA0B33-8CB5-4C81-9243-CD624F2299DA}" type="TxLink">
            <a:rPr lang="en-US" sz="1200" b="0" i="0" u="none" strike="noStrike">
              <a:solidFill>
                <a:srgbClr val="43525B"/>
              </a:solidFill>
              <a:latin typeface="Calibri"/>
              <a:ea typeface="+mn-ea"/>
              <a:cs typeface="Calibri"/>
            </a:rPr>
            <a:pPr marL="0" indent="0" algn="l"/>
            <a:t>0,00</a:t>
          </a:fld>
          <a:endParaRPr lang="pt-BR" sz="1200" b="0" i="0" u="none" strike="noStrike">
            <a:solidFill>
              <a:srgbClr val="43525B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13</xdr:col>
      <xdr:colOff>0</xdr:colOff>
      <xdr:row>18</xdr:row>
      <xdr:rowOff>0</xdr:rowOff>
    </xdr:from>
    <xdr:to>
      <xdr:col>13</xdr:col>
      <xdr:colOff>962024</xdr:colOff>
      <xdr:row>19</xdr:row>
      <xdr:rowOff>44823</xdr:rowOff>
    </xdr:to>
    <xdr:sp macro="" textlink="SUPORTE!Q9">
      <xdr:nvSpPr>
        <xdr:cNvPr id="6" name="Próxima Faixa Valor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1811000" y="3943350"/>
          <a:ext cx="962024" cy="4353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r"/>
          <a:fld id="{25DFE442-DA05-4528-B194-778AF547D70A}" type="TxLink">
            <a:rPr lang="en-US" sz="1200" b="0" i="0" u="none" strike="noStrike">
              <a:solidFill>
                <a:srgbClr val="43525B"/>
              </a:solidFill>
              <a:latin typeface="Calibri"/>
              <a:ea typeface="+mn-ea"/>
              <a:cs typeface="Calibri"/>
            </a:rPr>
            <a:pPr marL="0" indent="0" algn="r"/>
            <a:t>180.000,00</a:t>
          </a:fld>
          <a:endParaRPr lang="pt-BR" sz="1200" b="0" i="0" u="none" strike="noStrike">
            <a:solidFill>
              <a:srgbClr val="43525B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5</xdr:col>
      <xdr:colOff>0</xdr:colOff>
      <xdr:row>18</xdr:row>
      <xdr:rowOff>0</xdr:rowOff>
    </xdr:from>
    <xdr:to>
      <xdr:col>14</xdr:col>
      <xdr:colOff>1</xdr:colOff>
      <xdr:row>19</xdr:row>
      <xdr:rowOff>0</xdr:rowOff>
    </xdr:to>
    <xdr:sp macro="" textlink="">
      <xdr:nvSpPr>
        <xdr:cNvPr id="8" name="Titulo Barra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3962400" y="3943350"/>
          <a:ext cx="8867776" cy="390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800" b="0" i="0" u="none" strike="noStrike" cap="small">
              <a:solidFill>
                <a:srgbClr val="43525B"/>
              </a:solidFill>
              <a:latin typeface="Calibri"/>
              <a:cs typeface="Calibri"/>
            </a:rPr>
            <a:t>Porcentagem</a:t>
          </a:r>
          <a:r>
            <a:rPr lang="en-US" sz="1800" b="0" i="0" u="none" strike="noStrike" cap="small" baseline="0">
              <a:solidFill>
                <a:srgbClr val="43525B"/>
              </a:solidFill>
              <a:latin typeface="Calibri"/>
              <a:cs typeface="Calibri"/>
            </a:rPr>
            <a:t> de Faturamento Total Dentro da Faixa</a:t>
          </a:r>
          <a:endParaRPr lang="en-US" sz="1800" b="0" i="0" u="none" strike="noStrike" cap="small">
            <a:solidFill>
              <a:srgbClr val="43525B"/>
            </a:solidFill>
            <a:latin typeface="Calibri"/>
            <a:cs typeface="Calibri"/>
          </a:endParaRPr>
        </a:p>
      </xdr:txBody>
    </xdr:sp>
    <xdr:clientData/>
  </xdr:twoCellAnchor>
  <xdr:twoCellAnchor editAs="absolute">
    <xdr:from>
      <xdr:col>9</xdr:col>
      <xdr:colOff>479613</xdr:colOff>
      <xdr:row>19</xdr:row>
      <xdr:rowOff>83484</xdr:rowOff>
    </xdr:from>
    <xdr:to>
      <xdr:col>11</xdr:col>
      <xdr:colOff>344582</xdr:colOff>
      <xdr:row>21</xdr:row>
      <xdr:rowOff>61072</xdr:rowOff>
    </xdr:to>
    <xdr:sp macro="" textlink="SUPORTE!Q10">
      <xdr:nvSpPr>
        <xdr:cNvPr id="9" name="A Faturar valor Barra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8213913" y="4417359"/>
          <a:ext cx="1903319" cy="3585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l"/>
          <a:fld id="{0C6251AA-9949-4E1F-B5F1-4CB29C18C4C2}" type="TxLink">
            <a:rPr lang="en-US" sz="1200" b="0" i="0" u="none" strike="noStrike">
              <a:solidFill>
                <a:srgbClr val="3C88A6"/>
              </a:solidFill>
              <a:latin typeface="Calibri"/>
              <a:ea typeface="+mn-ea"/>
              <a:cs typeface="Calibri"/>
            </a:rPr>
            <a:pPr marL="0" indent="0" algn="l"/>
            <a:t>180.000,00</a:t>
          </a:fld>
          <a:endParaRPr lang="pt-BR" sz="1200" b="0" i="0" u="none" strike="noStrike">
            <a:solidFill>
              <a:srgbClr val="3C88A6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7</xdr:col>
      <xdr:colOff>612963</xdr:colOff>
      <xdr:row>19</xdr:row>
      <xdr:rowOff>83484</xdr:rowOff>
    </xdr:from>
    <xdr:to>
      <xdr:col>9</xdr:col>
      <xdr:colOff>477932</xdr:colOff>
      <xdr:row>21</xdr:row>
      <xdr:rowOff>61072</xdr:rowOff>
    </xdr:to>
    <xdr:sp macro="" textlink="SUPORTE!Q4">
      <xdr:nvSpPr>
        <xdr:cNvPr id="10" name="Faturado Valor Barra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6308913" y="4417359"/>
          <a:ext cx="1903319" cy="3585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r"/>
          <a:fld id="{77B0020F-2D43-43F1-AE9C-B25A938F4557}" type="TxLink">
            <a:rPr lang="en-US" sz="1200" b="0" i="0" u="none" strike="noStrike">
              <a:solidFill>
                <a:srgbClr val="3C88A6"/>
              </a:solidFill>
              <a:latin typeface="Calibri"/>
              <a:ea typeface="+mn-ea"/>
              <a:cs typeface="Calibri"/>
            </a:rPr>
            <a:pPr marL="0" indent="0" algn="r"/>
            <a:t>0,00</a:t>
          </a:fld>
          <a:endParaRPr lang="pt-BR" sz="1200" b="0" i="0" u="none" strike="noStrike">
            <a:solidFill>
              <a:srgbClr val="3C88A6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9</xdr:col>
      <xdr:colOff>365313</xdr:colOff>
      <xdr:row>19</xdr:row>
      <xdr:rowOff>83484</xdr:rowOff>
    </xdr:from>
    <xdr:to>
      <xdr:col>9</xdr:col>
      <xdr:colOff>595594</xdr:colOff>
      <xdr:row>21</xdr:row>
      <xdr:rowOff>61072</xdr:rowOff>
    </xdr:to>
    <xdr:sp macro="" textlink="">
      <xdr:nvSpPr>
        <xdr:cNvPr id="11" name="Separador Fat/a Fat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8099613" y="4417359"/>
          <a:ext cx="230281" cy="3585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l"/>
          <a:r>
            <a:rPr lang="en-US" sz="1400" b="0" i="0" u="none" strike="noStrike">
              <a:solidFill>
                <a:srgbClr val="43525B"/>
              </a:solidFill>
              <a:latin typeface="Calibri"/>
              <a:ea typeface="+mn-ea"/>
              <a:cs typeface="Calibri"/>
            </a:rPr>
            <a:t>/</a:t>
          </a:r>
        </a:p>
      </xdr:txBody>
    </xdr:sp>
    <xdr:clientData/>
  </xdr:twoCellAnchor>
  <xdr:twoCellAnchor editAs="absolute">
    <xdr:from>
      <xdr:col>1</xdr:col>
      <xdr:colOff>0</xdr:colOff>
      <xdr:row>1</xdr:row>
      <xdr:rowOff>0</xdr:rowOff>
    </xdr:from>
    <xdr:to>
      <xdr:col>13</xdr:col>
      <xdr:colOff>921683</xdr:colOff>
      <xdr:row>1</xdr:row>
      <xdr:rowOff>0</xdr:rowOff>
    </xdr:to>
    <xdr:cxnSp macro="">
      <xdr:nvCxnSpPr>
        <xdr:cNvPr id="12" name="Linha Títul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flipH="1">
          <a:off x="381000" y="514350"/>
          <a:ext cx="12496800" cy="0"/>
        </a:xfrm>
        <a:prstGeom prst="line">
          <a:avLst/>
        </a:prstGeom>
        <a:ln w="38100">
          <a:solidFill>
            <a:srgbClr val="3C88A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1029260</xdr:colOff>
      <xdr:row>1</xdr:row>
      <xdr:rowOff>0</xdr:rowOff>
    </xdr:from>
    <xdr:to>
      <xdr:col>8</xdr:col>
      <xdr:colOff>912159</xdr:colOff>
      <xdr:row>3</xdr:row>
      <xdr:rowOff>0</xdr:rowOff>
    </xdr:to>
    <xdr:sp macro="" textlink="">
      <xdr:nvSpPr>
        <xdr:cNvPr id="13" name="Botão Anexo V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6724649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V</a:t>
          </a:r>
        </a:p>
      </xdr:txBody>
    </xdr:sp>
    <xdr:clientData/>
  </xdr:twoCellAnchor>
  <xdr:twoCellAnchor editAs="absolute">
    <xdr:from>
      <xdr:col>6</xdr:col>
      <xdr:colOff>1285874</xdr:colOff>
      <xdr:row>1</xdr:row>
      <xdr:rowOff>0</xdr:rowOff>
    </xdr:from>
    <xdr:to>
      <xdr:col>7</xdr:col>
      <xdr:colOff>1019736</xdr:colOff>
      <xdr:row>3</xdr:row>
      <xdr:rowOff>0</xdr:rowOff>
    </xdr:to>
    <xdr:sp macro="" textlink="">
      <xdr:nvSpPr>
        <xdr:cNvPr id="14" name="Botão Anexo IV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5667374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IV</a:t>
          </a:r>
        </a:p>
      </xdr:txBody>
    </xdr:sp>
    <xdr:clientData/>
  </xdr:twoCellAnchor>
  <xdr:twoCellAnchor editAs="absolute">
    <xdr:from>
      <xdr:col>6</xdr:col>
      <xdr:colOff>228599</xdr:colOff>
      <xdr:row>1</xdr:row>
      <xdr:rowOff>0</xdr:rowOff>
    </xdr:from>
    <xdr:to>
      <xdr:col>6</xdr:col>
      <xdr:colOff>1276350</xdr:colOff>
      <xdr:row>3</xdr:row>
      <xdr:rowOff>0</xdr:rowOff>
    </xdr:to>
    <xdr:sp macro="" textlink="">
      <xdr:nvSpPr>
        <xdr:cNvPr id="15" name="Botão Anexo III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4610099" y="514350"/>
          <a:ext cx="1047751" cy="333375"/>
        </a:xfrm>
        <a:prstGeom prst="foldedCorner">
          <a:avLst>
            <a:gd name="adj" fmla="val 26624"/>
          </a:avLst>
        </a:prstGeom>
        <a:solidFill>
          <a:srgbClr val="43525B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III</a:t>
          </a:r>
        </a:p>
      </xdr:txBody>
    </xdr:sp>
    <xdr:clientData/>
  </xdr:twoCellAnchor>
  <xdr:twoCellAnchor editAs="absolute">
    <xdr:from>
      <xdr:col>3</xdr:col>
      <xdr:colOff>1371599</xdr:colOff>
      <xdr:row>1</xdr:row>
      <xdr:rowOff>0</xdr:rowOff>
    </xdr:from>
    <xdr:to>
      <xdr:col>6</xdr:col>
      <xdr:colOff>219075</xdr:colOff>
      <xdr:row>3</xdr:row>
      <xdr:rowOff>0</xdr:rowOff>
    </xdr:to>
    <xdr:sp macro="" textlink="">
      <xdr:nvSpPr>
        <xdr:cNvPr id="16" name="Botão Anexo II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3552824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II</a:t>
          </a:r>
        </a:p>
      </xdr:txBody>
    </xdr:sp>
    <xdr:clientData/>
  </xdr:twoCellAnchor>
  <xdr:twoCellAnchor editAs="absolute">
    <xdr:from>
      <xdr:col>3</xdr:col>
      <xdr:colOff>314324</xdr:colOff>
      <xdr:row>1</xdr:row>
      <xdr:rowOff>0</xdr:rowOff>
    </xdr:from>
    <xdr:to>
      <xdr:col>3</xdr:col>
      <xdr:colOff>1362075</xdr:colOff>
      <xdr:row>3</xdr:row>
      <xdr:rowOff>0</xdr:rowOff>
    </xdr:to>
    <xdr:sp macro="" textlink="">
      <xdr:nvSpPr>
        <xdr:cNvPr id="17" name="Botão Anexo I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2495549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</a:t>
          </a:r>
        </a:p>
      </xdr:txBody>
    </xdr:sp>
    <xdr:clientData/>
  </xdr:twoCellAnchor>
  <xdr:twoCellAnchor editAs="absolute">
    <xdr:from>
      <xdr:col>2</xdr:col>
      <xdr:colOff>257174</xdr:colOff>
      <xdr:row>1</xdr:row>
      <xdr:rowOff>0</xdr:rowOff>
    </xdr:from>
    <xdr:to>
      <xdr:col>3</xdr:col>
      <xdr:colOff>304800</xdr:colOff>
      <xdr:row>3</xdr:row>
      <xdr:rowOff>0</xdr:rowOff>
    </xdr:to>
    <xdr:sp macro="" textlink="">
      <xdr:nvSpPr>
        <xdr:cNvPr id="18" name="Botão Fator 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1438274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FATOR R</a:t>
          </a:r>
        </a:p>
      </xdr:txBody>
    </xdr:sp>
    <xdr:clientData/>
  </xdr:twoCellAnchor>
  <xdr:twoCellAnchor editAs="absolute">
    <xdr:from>
      <xdr:col>0</xdr:col>
      <xdr:colOff>380999</xdr:colOff>
      <xdr:row>1</xdr:row>
      <xdr:rowOff>0</xdr:rowOff>
    </xdr:from>
    <xdr:to>
      <xdr:col>2</xdr:col>
      <xdr:colOff>247650</xdr:colOff>
      <xdr:row>3</xdr:row>
      <xdr:rowOff>0</xdr:rowOff>
    </xdr:to>
    <xdr:sp macro="" textlink="">
      <xdr:nvSpPr>
        <xdr:cNvPr id="19" name="Botão Instruçõe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380999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INSTRUÇÕES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68580</xdr:colOff>
          <xdr:row>7</xdr:row>
          <xdr:rowOff>160020</xdr:rowOff>
        </xdr:from>
        <xdr:to>
          <xdr:col>1</xdr:col>
          <xdr:colOff>693420</xdr:colOff>
          <xdr:row>8</xdr:row>
          <xdr:rowOff>121920</xdr:rowOff>
        </xdr:to>
        <xdr:sp macro="" textlink="">
          <xdr:nvSpPr>
            <xdr:cNvPr id="20481" name="Mês Referência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5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109794</xdr:colOff>
      <xdr:row>6</xdr:row>
      <xdr:rowOff>280990</xdr:rowOff>
    </xdr:from>
    <xdr:to>
      <xdr:col>1</xdr:col>
      <xdr:colOff>96326</xdr:colOff>
      <xdr:row>7</xdr:row>
      <xdr:rowOff>244913</xdr:rowOff>
    </xdr:to>
    <xdr:sp macro="" textlink="">
      <xdr:nvSpPr>
        <xdr:cNvPr id="21" name="Seta: Mês Referência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 rot="18034129">
          <a:off x="121098" y="1546036"/>
          <a:ext cx="344923" cy="367532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12</xdr:col>
      <xdr:colOff>619125</xdr:colOff>
      <xdr:row>0</xdr:row>
      <xdr:rowOff>0</xdr:rowOff>
    </xdr:from>
    <xdr:to>
      <xdr:col>13</xdr:col>
      <xdr:colOff>917377</xdr:colOff>
      <xdr:row>1</xdr:row>
      <xdr:rowOff>0</xdr:rowOff>
    </xdr:to>
    <xdr:pic>
      <xdr:nvPicPr>
        <xdr:cNvPr id="22" name="Log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0950" y="0"/>
          <a:ext cx="1317428" cy="514350"/>
        </a:xfrm>
        <a:prstGeom prst="rect">
          <a:avLst/>
        </a:prstGeom>
      </xdr:spPr>
    </xdr:pic>
    <xdr:clientData/>
  </xdr:twoCellAnchor>
  <xdr:twoCellAnchor editAs="absolute">
    <xdr:from>
      <xdr:col>14</xdr:col>
      <xdr:colOff>302559</xdr:colOff>
      <xdr:row>5</xdr:row>
      <xdr:rowOff>99793</xdr:rowOff>
    </xdr:from>
    <xdr:to>
      <xdr:col>14</xdr:col>
      <xdr:colOff>1546412</xdr:colOff>
      <xdr:row>8</xdr:row>
      <xdr:rowOff>280146</xdr:rowOff>
    </xdr:to>
    <xdr:grpSp>
      <xdr:nvGrpSpPr>
        <xdr:cNvPr id="23" name="Agrupa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GrpSpPr/>
      </xdr:nvGrpSpPr>
      <xdr:grpSpPr>
        <a:xfrm>
          <a:off x="13642041" y="1445844"/>
          <a:ext cx="1243853" cy="941008"/>
          <a:chOff x="7149353" y="4250317"/>
          <a:chExt cx="2945970" cy="948762"/>
        </a:xfrm>
      </xdr:grpSpPr>
      <xdr:sp macro="" textlink="">
        <xdr:nvSpPr>
          <xdr:cNvPr id="24" name="Retângulo 23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/>
        </xdr:nvSpPr>
        <xdr:spPr>
          <a:xfrm>
            <a:off x="7149353" y="4527176"/>
            <a:ext cx="2945970" cy="671903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just"/>
            <a:endParaRPr lang="pt-BR" sz="1100">
              <a:solidFill>
                <a:srgbClr val="43525B"/>
              </a:solidFill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482" name="Drop Down 2" hidden="1">
                <a:extLst>
                  <a:ext uri="{63B3BB69-23CF-44E3-9099-C40C66FF867C}">
                    <a14:compatExt spid="_x0000_s20482"/>
                  </a:ext>
                  <a:ext uri="{FF2B5EF4-FFF2-40B4-BE49-F238E27FC236}">
                    <a16:creationId xmlns:a16="http://schemas.microsoft.com/office/drawing/2014/main" id="{00000000-0008-0000-0500-000002500000}"/>
                  </a:ext>
                </a:extLst>
              </xdr:cNvPr>
              <xdr:cNvSpPr/>
            </xdr:nvSpPr>
            <xdr:spPr bwMode="auto">
              <a:xfrm>
                <a:off x="7600535" y="4695938"/>
                <a:ext cx="1990520" cy="28014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6" name="Retângulo 25">
            <a:extLst>
              <a:ext uri="{FF2B5EF4-FFF2-40B4-BE49-F238E27FC236}">
                <a16:creationId xmlns:a16="http://schemas.microsoft.com/office/drawing/2014/main" id="{00000000-0008-0000-0500-00001A000000}"/>
              </a:ext>
            </a:extLst>
          </xdr:cNvPr>
          <xdr:cNvSpPr/>
        </xdr:nvSpPr>
        <xdr:spPr>
          <a:xfrm>
            <a:off x="7149353" y="4250317"/>
            <a:ext cx="2945970" cy="268642"/>
          </a:xfrm>
          <a:prstGeom prst="rect">
            <a:avLst/>
          </a:prstGeom>
          <a:solidFill>
            <a:srgbClr val="3C88A6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RETENÇÃO DE ISS</a:t>
            </a:r>
          </a:p>
        </xdr:txBody>
      </xdr:sp>
    </xdr:grpSp>
    <xdr:clientData/>
  </xdr:twoCellAnchor>
  <xdr:twoCellAnchor editAs="absolute">
    <xdr:from>
      <xdr:col>3</xdr:col>
      <xdr:colOff>1228724</xdr:colOff>
      <xdr:row>19</xdr:row>
      <xdr:rowOff>11206</xdr:rowOff>
    </xdr:from>
    <xdr:to>
      <xdr:col>5</xdr:col>
      <xdr:colOff>0</xdr:colOff>
      <xdr:row>20</xdr:row>
      <xdr:rowOff>11206</xdr:rowOff>
    </xdr:to>
    <xdr:sp macro="" textlink="SUPORTE!Q6">
      <xdr:nvSpPr>
        <xdr:cNvPr id="27" name="Faixa Atual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3402665" y="4628030"/>
          <a:ext cx="553011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fld id="{978F7072-946D-49E1-8031-317C97377654}" type="TxLink">
            <a:rPr lang="en-US" sz="2000" b="0" i="0" u="none" strike="noStrike">
              <a:solidFill>
                <a:srgbClr val="3C88A6"/>
              </a:solidFill>
              <a:latin typeface="Calibri"/>
              <a:ea typeface="+mn-ea"/>
              <a:cs typeface="Calibri"/>
            </a:rPr>
            <a:pPr marL="0" indent="0" algn="r"/>
            <a:t>1</a:t>
          </a:fld>
          <a:endParaRPr lang="pt-BR" sz="4400" b="1" i="0" u="none" strike="noStrike">
            <a:solidFill>
              <a:srgbClr val="3C88A6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14</xdr:col>
      <xdr:colOff>0</xdr:colOff>
      <xdr:row>19</xdr:row>
      <xdr:rowOff>11206</xdr:rowOff>
    </xdr:from>
    <xdr:to>
      <xdr:col>15</xdr:col>
      <xdr:colOff>67235</xdr:colOff>
      <xdr:row>20</xdr:row>
      <xdr:rowOff>11206</xdr:rowOff>
    </xdr:to>
    <xdr:sp macro="" textlink="SUPORTE!Q7">
      <xdr:nvSpPr>
        <xdr:cNvPr id="28" name="Próxima Faixa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12819529" y="4628030"/>
          <a:ext cx="1972235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fld id="{25EF9E70-A390-4F48-B343-3F1DB7DBF410}" type="TxLink">
            <a:rPr lang="en-US" sz="2000" b="0" i="0" u="none" strike="noStrike">
              <a:solidFill>
                <a:srgbClr val="3C88A6"/>
              </a:solidFill>
              <a:latin typeface="Calibri"/>
              <a:ea typeface="+mn-ea"/>
              <a:cs typeface="Calibri"/>
            </a:rPr>
            <a:pPr marL="0" indent="0" algn="l"/>
            <a:t>2</a:t>
          </a:fld>
          <a:endParaRPr lang="pt-BR" sz="4400" b="1" i="0" u="none" strike="noStrike">
            <a:solidFill>
              <a:srgbClr val="3C88A6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4</xdr:col>
      <xdr:colOff>24092</xdr:colOff>
      <xdr:row>21</xdr:row>
      <xdr:rowOff>0</xdr:rowOff>
    </xdr:from>
    <xdr:to>
      <xdr:col>14</xdr:col>
      <xdr:colOff>0</xdr:colOff>
      <xdr:row>32</xdr:row>
      <xdr:rowOff>49306</xdr:rowOff>
    </xdr:to>
    <xdr:graphicFrame macro="">
      <xdr:nvGraphicFramePr>
        <xdr:cNvPr id="30" name="Gráfico Geral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18</xdr:row>
      <xdr:rowOff>0</xdr:rowOff>
    </xdr:from>
    <xdr:to>
      <xdr:col>14</xdr:col>
      <xdr:colOff>285751</xdr:colOff>
      <xdr:row>21</xdr:row>
      <xdr:rowOff>9525</xdr:rowOff>
    </xdr:to>
    <xdr:graphicFrame macro="">
      <xdr:nvGraphicFramePr>
        <xdr:cNvPr id="3" name="Gráfico Barra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0</xdr:colOff>
      <xdr:row>18</xdr:row>
      <xdr:rowOff>0</xdr:rowOff>
    </xdr:from>
    <xdr:to>
      <xdr:col>6</xdr:col>
      <xdr:colOff>758642</xdr:colOff>
      <xdr:row>19</xdr:row>
      <xdr:rowOff>11206</xdr:rowOff>
    </xdr:to>
    <xdr:sp macro="" textlink="SUPORTE!Q8">
      <xdr:nvSpPr>
        <xdr:cNvPr id="4" name="Faixa Atual Valor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962400" y="3943350"/>
          <a:ext cx="1177742" cy="4017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l"/>
          <a:fld id="{7FEA0B33-8CB5-4C81-9243-CD624F2299DA}" type="TxLink">
            <a:rPr lang="en-US" sz="1200" b="0" i="0" u="none" strike="noStrike">
              <a:solidFill>
                <a:srgbClr val="43525B"/>
              </a:solidFill>
              <a:latin typeface="Calibri"/>
              <a:ea typeface="+mn-ea"/>
              <a:cs typeface="Calibri"/>
            </a:rPr>
            <a:pPr marL="0" indent="0" algn="l"/>
            <a:t>0,00</a:t>
          </a:fld>
          <a:endParaRPr lang="pt-BR" sz="1200" b="0" i="0" u="none" strike="noStrike">
            <a:solidFill>
              <a:srgbClr val="43525B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13</xdr:col>
      <xdr:colOff>0</xdr:colOff>
      <xdr:row>18</xdr:row>
      <xdr:rowOff>0</xdr:rowOff>
    </xdr:from>
    <xdr:to>
      <xdr:col>13</xdr:col>
      <xdr:colOff>962024</xdr:colOff>
      <xdr:row>19</xdr:row>
      <xdr:rowOff>44823</xdr:rowOff>
    </xdr:to>
    <xdr:sp macro="" textlink="SUPORTE!Q9">
      <xdr:nvSpPr>
        <xdr:cNvPr id="6" name="Próxima Faixa Valor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1811000" y="3943350"/>
          <a:ext cx="962024" cy="4353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r"/>
          <a:fld id="{25DFE442-DA05-4528-B194-778AF547D70A}" type="TxLink">
            <a:rPr lang="en-US" sz="1200" b="0" i="0" u="none" strike="noStrike">
              <a:solidFill>
                <a:srgbClr val="43525B"/>
              </a:solidFill>
              <a:latin typeface="Calibri"/>
              <a:ea typeface="+mn-ea"/>
              <a:cs typeface="Calibri"/>
            </a:rPr>
            <a:pPr marL="0" indent="0" algn="r"/>
            <a:t>180.000,00</a:t>
          </a:fld>
          <a:endParaRPr lang="pt-BR" sz="1200" b="0" i="0" u="none" strike="noStrike">
            <a:solidFill>
              <a:srgbClr val="43525B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5</xdr:col>
      <xdr:colOff>0</xdr:colOff>
      <xdr:row>18</xdr:row>
      <xdr:rowOff>0</xdr:rowOff>
    </xdr:from>
    <xdr:to>
      <xdr:col>14</xdr:col>
      <xdr:colOff>1</xdr:colOff>
      <xdr:row>19</xdr:row>
      <xdr:rowOff>0</xdr:rowOff>
    </xdr:to>
    <xdr:sp macro="" textlink="">
      <xdr:nvSpPr>
        <xdr:cNvPr id="8" name="Titulo Barra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3962400" y="3943350"/>
          <a:ext cx="8867776" cy="390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800" b="0" i="0" u="none" strike="noStrike" cap="small">
              <a:solidFill>
                <a:srgbClr val="43525B"/>
              </a:solidFill>
              <a:latin typeface="Calibri"/>
              <a:cs typeface="Calibri"/>
            </a:rPr>
            <a:t>Porcentagem</a:t>
          </a:r>
          <a:r>
            <a:rPr lang="en-US" sz="1800" b="0" i="0" u="none" strike="noStrike" cap="small" baseline="0">
              <a:solidFill>
                <a:srgbClr val="43525B"/>
              </a:solidFill>
              <a:latin typeface="Calibri"/>
              <a:cs typeface="Calibri"/>
            </a:rPr>
            <a:t> de Faturamento Total Dentro da Faixa</a:t>
          </a:r>
          <a:endParaRPr lang="en-US" sz="1800" b="0" i="0" u="none" strike="noStrike" cap="small">
            <a:solidFill>
              <a:srgbClr val="43525B"/>
            </a:solidFill>
            <a:latin typeface="Calibri"/>
            <a:cs typeface="Calibri"/>
          </a:endParaRPr>
        </a:p>
      </xdr:txBody>
    </xdr:sp>
    <xdr:clientData/>
  </xdr:twoCellAnchor>
  <xdr:twoCellAnchor editAs="absolute">
    <xdr:from>
      <xdr:col>9</xdr:col>
      <xdr:colOff>479613</xdr:colOff>
      <xdr:row>19</xdr:row>
      <xdr:rowOff>83484</xdr:rowOff>
    </xdr:from>
    <xdr:to>
      <xdr:col>11</xdr:col>
      <xdr:colOff>344582</xdr:colOff>
      <xdr:row>21</xdr:row>
      <xdr:rowOff>61072</xdr:rowOff>
    </xdr:to>
    <xdr:sp macro="" textlink="SUPORTE!Q10">
      <xdr:nvSpPr>
        <xdr:cNvPr id="9" name="A Faturar valor Barra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8213913" y="4417359"/>
          <a:ext cx="1903319" cy="3585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l"/>
          <a:fld id="{0C6251AA-9949-4E1F-B5F1-4CB29C18C4C2}" type="TxLink">
            <a:rPr lang="en-US" sz="1200" b="0" i="0" u="none" strike="noStrike">
              <a:solidFill>
                <a:srgbClr val="3C88A6"/>
              </a:solidFill>
              <a:latin typeface="Calibri"/>
              <a:ea typeface="+mn-ea"/>
              <a:cs typeface="Calibri"/>
            </a:rPr>
            <a:pPr marL="0" indent="0" algn="l"/>
            <a:t>180.000,00</a:t>
          </a:fld>
          <a:endParaRPr lang="pt-BR" sz="1200" b="0" i="0" u="none" strike="noStrike">
            <a:solidFill>
              <a:srgbClr val="3C88A6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7</xdr:col>
      <xdr:colOff>612963</xdr:colOff>
      <xdr:row>19</xdr:row>
      <xdr:rowOff>83484</xdr:rowOff>
    </xdr:from>
    <xdr:to>
      <xdr:col>9</xdr:col>
      <xdr:colOff>477932</xdr:colOff>
      <xdr:row>21</xdr:row>
      <xdr:rowOff>61072</xdr:rowOff>
    </xdr:to>
    <xdr:sp macro="" textlink="SUPORTE!Q4">
      <xdr:nvSpPr>
        <xdr:cNvPr id="10" name="Faturado Valor Barra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6308913" y="4417359"/>
          <a:ext cx="1903319" cy="3585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r"/>
          <a:fld id="{77B0020F-2D43-43F1-AE9C-B25A938F4557}" type="TxLink">
            <a:rPr lang="en-US" sz="1200" b="0" i="0" u="none" strike="noStrike">
              <a:solidFill>
                <a:srgbClr val="3C88A6"/>
              </a:solidFill>
              <a:latin typeface="Calibri"/>
              <a:ea typeface="+mn-ea"/>
              <a:cs typeface="Calibri"/>
            </a:rPr>
            <a:pPr marL="0" indent="0" algn="r"/>
            <a:t>0,00</a:t>
          </a:fld>
          <a:endParaRPr lang="pt-BR" sz="1200" b="0" i="0" u="none" strike="noStrike">
            <a:solidFill>
              <a:srgbClr val="3C88A6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9</xdr:col>
      <xdr:colOff>365313</xdr:colOff>
      <xdr:row>19</xdr:row>
      <xdr:rowOff>83484</xdr:rowOff>
    </xdr:from>
    <xdr:to>
      <xdr:col>9</xdr:col>
      <xdr:colOff>595594</xdr:colOff>
      <xdr:row>21</xdr:row>
      <xdr:rowOff>61072</xdr:rowOff>
    </xdr:to>
    <xdr:sp macro="" textlink="">
      <xdr:nvSpPr>
        <xdr:cNvPr id="11" name="Separador Fat/a Fat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8099613" y="4417359"/>
          <a:ext cx="230281" cy="3585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l"/>
          <a:r>
            <a:rPr lang="en-US" sz="1400" b="0" i="0" u="none" strike="noStrike">
              <a:solidFill>
                <a:srgbClr val="43525B"/>
              </a:solidFill>
              <a:latin typeface="Calibri"/>
              <a:ea typeface="+mn-ea"/>
              <a:cs typeface="Calibri"/>
            </a:rPr>
            <a:t>/</a:t>
          </a:r>
        </a:p>
      </xdr:txBody>
    </xdr:sp>
    <xdr:clientData/>
  </xdr:twoCellAnchor>
  <xdr:twoCellAnchor editAs="absolute">
    <xdr:from>
      <xdr:col>1</xdr:col>
      <xdr:colOff>0</xdr:colOff>
      <xdr:row>1</xdr:row>
      <xdr:rowOff>0</xdr:rowOff>
    </xdr:from>
    <xdr:to>
      <xdr:col>13</xdr:col>
      <xdr:colOff>921683</xdr:colOff>
      <xdr:row>1</xdr:row>
      <xdr:rowOff>0</xdr:rowOff>
    </xdr:to>
    <xdr:cxnSp macro="">
      <xdr:nvCxnSpPr>
        <xdr:cNvPr id="12" name="Linha Títul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flipH="1">
          <a:off x="381000" y="514350"/>
          <a:ext cx="12496800" cy="0"/>
        </a:xfrm>
        <a:prstGeom prst="line">
          <a:avLst/>
        </a:prstGeom>
        <a:ln w="38100">
          <a:solidFill>
            <a:srgbClr val="3C88A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1029260</xdr:colOff>
      <xdr:row>1</xdr:row>
      <xdr:rowOff>0</xdr:rowOff>
    </xdr:from>
    <xdr:to>
      <xdr:col>8</xdr:col>
      <xdr:colOff>912159</xdr:colOff>
      <xdr:row>3</xdr:row>
      <xdr:rowOff>0</xdr:rowOff>
    </xdr:to>
    <xdr:sp macro="" textlink="">
      <xdr:nvSpPr>
        <xdr:cNvPr id="13" name="Botão Anexo V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6724649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V</a:t>
          </a:r>
        </a:p>
      </xdr:txBody>
    </xdr:sp>
    <xdr:clientData/>
  </xdr:twoCellAnchor>
  <xdr:twoCellAnchor editAs="absolute">
    <xdr:from>
      <xdr:col>6</xdr:col>
      <xdr:colOff>1285874</xdr:colOff>
      <xdr:row>1</xdr:row>
      <xdr:rowOff>0</xdr:rowOff>
    </xdr:from>
    <xdr:to>
      <xdr:col>7</xdr:col>
      <xdr:colOff>1019736</xdr:colOff>
      <xdr:row>3</xdr:row>
      <xdr:rowOff>0</xdr:rowOff>
    </xdr:to>
    <xdr:sp macro="" textlink="">
      <xdr:nvSpPr>
        <xdr:cNvPr id="14" name="Botão Anexo IV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5667374" y="514350"/>
          <a:ext cx="1047751" cy="333375"/>
        </a:xfrm>
        <a:prstGeom prst="foldedCorner">
          <a:avLst>
            <a:gd name="adj" fmla="val 26624"/>
          </a:avLst>
        </a:prstGeom>
        <a:solidFill>
          <a:srgbClr val="43525B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IV</a:t>
          </a:r>
        </a:p>
      </xdr:txBody>
    </xdr:sp>
    <xdr:clientData/>
  </xdr:twoCellAnchor>
  <xdr:twoCellAnchor editAs="absolute">
    <xdr:from>
      <xdr:col>6</xdr:col>
      <xdr:colOff>228599</xdr:colOff>
      <xdr:row>1</xdr:row>
      <xdr:rowOff>0</xdr:rowOff>
    </xdr:from>
    <xdr:to>
      <xdr:col>6</xdr:col>
      <xdr:colOff>1276350</xdr:colOff>
      <xdr:row>3</xdr:row>
      <xdr:rowOff>0</xdr:rowOff>
    </xdr:to>
    <xdr:sp macro="" textlink="">
      <xdr:nvSpPr>
        <xdr:cNvPr id="15" name="Botão Anexo III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4610099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III</a:t>
          </a:r>
        </a:p>
      </xdr:txBody>
    </xdr:sp>
    <xdr:clientData/>
  </xdr:twoCellAnchor>
  <xdr:twoCellAnchor editAs="absolute">
    <xdr:from>
      <xdr:col>3</xdr:col>
      <xdr:colOff>1371599</xdr:colOff>
      <xdr:row>1</xdr:row>
      <xdr:rowOff>0</xdr:rowOff>
    </xdr:from>
    <xdr:to>
      <xdr:col>6</xdr:col>
      <xdr:colOff>219075</xdr:colOff>
      <xdr:row>3</xdr:row>
      <xdr:rowOff>0</xdr:rowOff>
    </xdr:to>
    <xdr:sp macro="" textlink="">
      <xdr:nvSpPr>
        <xdr:cNvPr id="16" name="Botão Anexo II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3552824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II</a:t>
          </a:r>
        </a:p>
      </xdr:txBody>
    </xdr:sp>
    <xdr:clientData/>
  </xdr:twoCellAnchor>
  <xdr:twoCellAnchor editAs="absolute">
    <xdr:from>
      <xdr:col>3</xdr:col>
      <xdr:colOff>314324</xdr:colOff>
      <xdr:row>1</xdr:row>
      <xdr:rowOff>0</xdr:rowOff>
    </xdr:from>
    <xdr:to>
      <xdr:col>3</xdr:col>
      <xdr:colOff>1362075</xdr:colOff>
      <xdr:row>3</xdr:row>
      <xdr:rowOff>0</xdr:rowOff>
    </xdr:to>
    <xdr:sp macro="" textlink="">
      <xdr:nvSpPr>
        <xdr:cNvPr id="17" name="Botão Anexo I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2495549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</a:t>
          </a:r>
        </a:p>
      </xdr:txBody>
    </xdr:sp>
    <xdr:clientData/>
  </xdr:twoCellAnchor>
  <xdr:twoCellAnchor editAs="absolute">
    <xdr:from>
      <xdr:col>2</xdr:col>
      <xdr:colOff>257174</xdr:colOff>
      <xdr:row>1</xdr:row>
      <xdr:rowOff>0</xdr:rowOff>
    </xdr:from>
    <xdr:to>
      <xdr:col>3</xdr:col>
      <xdr:colOff>304800</xdr:colOff>
      <xdr:row>3</xdr:row>
      <xdr:rowOff>0</xdr:rowOff>
    </xdr:to>
    <xdr:sp macro="" textlink="">
      <xdr:nvSpPr>
        <xdr:cNvPr id="18" name="Botão Fator 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1438274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FATOR R</a:t>
          </a:r>
        </a:p>
      </xdr:txBody>
    </xdr:sp>
    <xdr:clientData/>
  </xdr:twoCellAnchor>
  <xdr:twoCellAnchor editAs="absolute">
    <xdr:from>
      <xdr:col>0</xdr:col>
      <xdr:colOff>380999</xdr:colOff>
      <xdr:row>1</xdr:row>
      <xdr:rowOff>0</xdr:rowOff>
    </xdr:from>
    <xdr:to>
      <xdr:col>2</xdr:col>
      <xdr:colOff>247650</xdr:colOff>
      <xdr:row>3</xdr:row>
      <xdr:rowOff>0</xdr:rowOff>
    </xdr:to>
    <xdr:sp macro="" textlink="">
      <xdr:nvSpPr>
        <xdr:cNvPr id="19" name="Botão Instruçõe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380999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INSTRUÇÕES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68580</xdr:colOff>
          <xdr:row>7</xdr:row>
          <xdr:rowOff>160020</xdr:rowOff>
        </xdr:from>
        <xdr:to>
          <xdr:col>1</xdr:col>
          <xdr:colOff>693420</xdr:colOff>
          <xdr:row>8</xdr:row>
          <xdr:rowOff>121920</xdr:rowOff>
        </xdr:to>
        <xdr:sp macro="" textlink="">
          <xdr:nvSpPr>
            <xdr:cNvPr id="21505" name="Mês Referência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6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109794</xdr:colOff>
      <xdr:row>6</xdr:row>
      <xdr:rowOff>280990</xdr:rowOff>
    </xdr:from>
    <xdr:to>
      <xdr:col>1</xdr:col>
      <xdr:colOff>96326</xdr:colOff>
      <xdr:row>7</xdr:row>
      <xdr:rowOff>244913</xdr:rowOff>
    </xdr:to>
    <xdr:sp macro="" textlink="">
      <xdr:nvSpPr>
        <xdr:cNvPr id="21" name="Seta: Mês Referência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 rot="18034129">
          <a:off x="121098" y="1546036"/>
          <a:ext cx="344923" cy="367532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12</xdr:col>
      <xdr:colOff>619125</xdr:colOff>
      <xdr:row>0</xdr:row>
      <xdr:rowOff>0</xdr:rowOff>
    </xdr:from>
    <xdr:to>
      <xdr:col>13</xdr:col>
      <xdr:colOff>917377</xdr:colOff>
      <xdr:row>1</xdr:row>
      <xdr:rowOff>0</xdr:rowOff>
    </xdr:to>
    <xdr:pic>
      <xdr:nvPicPr>
        <xdr:cNvPr id="22" name="Log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0950" y="0"/>
          <a:ext cx="1317428" cy="514350"/>
        </a:xfrm>
        <a:prstGeom prst="rect">
          <a:avLst/>
        </a:prstGeom>
      </xdr:spPr>
    </xdr:pic>
    <xdr:clientData/>
  </xdr:twoCellAnchor>
  <xdr:twoCellAnchor editAs="absolute">
    <xdr:from>
      <xdr:col>13</xdr:col>
      <xdr:colOff>257736</xdr:colOff>
      <xdr:row>5</xdr:row>
      <xdr:rowOff>89646</xdr:rowOff>
    </xdr:from>
    <xdr:to>
      <xdr:col>14</xdr:col>
      <xdr:colOff>481854</xdr:colOff>
      <xdr:row>8</xdr:row>
      <xdr:rowOff>269999</xdr:rowOff>
    </xdr:to>
    <xdr:grpSp>
      <xdr:nvGrpSpPr>
        <xdr:cNvPr id="23" name="Agrupa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pSpPr/>
      </xdr:nvGrpSpPr>
      <xdr:grpSpPr>
        <a:xfrm>
          <a:off x="12548348" y="1443317"/>
          <a:ext cx="1272988" cy="933388"/>
          <a:chOff x="7149353" y="4250317"/>
          <a:chExt cx="2945970" cy="948762"/>
        </a:xfrm>
      </xdr:grpSpPr>
      <xdr:sp macro="" textlink="">
        <xdr:nvSpPr>
          <xdr:cNvPr id="24" name="Retângulo 23">
            <a:extLst>
              <a:ext uri="{FF2B5EF4-FFF2-40B4-BE49-F238E27FC236}">
                <a16:creationId xmlns:a16="http://schemas.microsoft.com/office/drawing/2014/main" id="{00000000-0008-0000-0600-000018000000}"/>
              </a:ext>
            </a:extLst>
          </xdr:cNvPr>
          <xdr:cNvSpPr/>
        </xdr:nvSpPr>
        <xdr:spPr>
          <a:xfrm>
            <a:off x="7149353" y="4527176"/>
            <a:ext cx="2945970" cy="671903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just"/>
            <a:endParaRPr lang="pt-BR" sz="1100">
              <a:solidFill>
                <a:srgbClr val="43525B"/>
              </a:solidFill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1506" name="Drop Down 2" hidden="1">
                <a:extLst>
                  <a:ext uri="{63B3BB69-23CF-44E3-9099-C40C66FF867C}">
                    <a14:compatExt spid="_x0000_s21506"/>
                  </a:ext>
                  <a:ext uri="{FF2B5EF4-FFF2-40B4-BE49-F238E27FC236}">
                    <a16:creationId xmlns:a16="http://schemas.microsoft.com/office/drawing/2014/main" id="{00000000-0008-0000-0600-000002540000}"/>
                  </a:ext>
                </a:extLst>
              </xdr:cNvPr>
              <xdr:cNvSpPr/>
            </xdr:nvSpPr>
            <xdr:spPr bwMode="auto">
              <a:xfrm>
                <a:off x="7600535" y="4695938"/>
                <a:ext cx="1990522" cy="28014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6" name="Retângulo 25">
            <a:extLst>
              <a:ext uri="{FF2B5EF4-FFF2-40B4-BE49-F238E27FC236}">
                <a16:creationId xmlns:a16="http://schemas.microsoft.com/office/drawing/2014/main" id="{00000000-0008-0000-0600-00001A000000}"/>
              </a:ext>
            </a:extLst>
          </xdr:cNvPr>
          <xdr:cNvSpPr/>
        </xdr:nvSpPr>
        <xdr:spPr>
          <a:xfrm>
            <a:off x="7149353" y="4250317"/>
            <a:ext cx="2945970" cy="268642"/>
          </a:xfrm>
          <a:prstGeom prst="rect">
            <a:avLst/>
          </a:prstGeom>
          <a:solidFill>
            <a:srgbClr val="3C88A6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RETENÇÃO DE ISS</a:t>
            </a:r>
          </a:p>
        </xdr:txBody>
      </xdr:sp>
    </xdr:grpSp>
    <xdr:clientData/>
  </xdr:twoCellAnchor>
  <xdr:twoCellAnchor editAs="absolute">
    <xdr:from>
      <xdr:col>3</xdr:col>
      <xdr:colOff>1228724</xdr:colOff>
      <xdr:row>19</xdr:row>
      <xdr:rowOff>0</xdr:rowOff>
    </xdr:from>
    <xdr:to>
      <xdr:col>5</xdr:col>
      <xdr:colOff>0</xdr:colOff>
      <xdr:row>20</xdr:row>
      <xdr:rowOff>0</xdr:rowOff>
    </xdr:to>
    <xdr:sp macro="" textlink="SUPORTE!Q6">
      <xdr:nvSpPr>
        <xdr:cNvPr id="27" name="Faixa Atual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/>
      </xdr:nvSpPr>
      <xdr:spPr>
        <a:xfrm>
          <a:off x="3402665" y="4616824"/>
          <a:ext cx="553011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fld id="{978F7072-946D-49E1-8031-317C97377654}" type="TxLink">
            <a:rPr lang="en-US" sz="2000" b="0" i="0" u="none" strike="noStrike">
              <a:solidFill>
                <a:srgbClr val="3C88A6"/>
              </a:solidFill>
              <a:latin typeface="Calibri"/>
              <a:ea typeface="+mn-ea"/>
              <a:cs typeface="Calibri"/>
            </a:rPr>
            <a:pPr marL="0" indent="0" algn="r"/>
            <a:t>1</a:t>
          </a:fld>
          <a:endParaRPr lang="pt-BR" sz="4400" b="1" i="0" u="none" strike="noStrike">
            <a:solidFill>
              <a:srgbClr val="3C88A6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14</xdr:col>
      <xdr:colOff>0</xdr:colOff>
      <xdr:row>19</xdr:row>
      <xdr:rowOff>0</xdr:rowOff>
    </xdr:from>
    <xdr:to>
      <xdr:col>15</xdr:col>
      <xdr:colOff>67235</xdr:colOff>
      <xdr:row>20</xdr:row>
      <xdr:rowOff>0</xdr:rowOff>
    </xdr:to>
    <xdr:sp macro="" textlink="SUPORTE!Q7">
      <xdr:nvSpPr>
        <xdr:cNvPr id="28" name="Próxima Faixa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>
        <a:xfrm>
          <a:off x="12819529" y="4616824"/>
          <a:ext cx="1972235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fld id="{25EF9E70-A390-4F48-B343-3F1DB7DBF410}" type="TxLink">
            <a:rPr lang="en-US" sz="2000" b="0" i="0" u="none" strike="noStrike">
              <a:solidFill>
                <a:srgbClr val="3C88A6"/>
              </a:solidFill>
              <a:latin typeface="Calibri"/>
              <a:ea typeface="+mn-ea"/>
              <a:cs typeface="Calibri"/>
            </a:rPr>
            <a:pPr marL="0" indent="0" algn="l"/>
            <a:t>2</a:t>
          </a:fld>
          <a:endParaRPr lang="pt-BR" sz="4400" b="1" i="0" u="none" strike="noStrike">
            <a:solidFill>
              <a:srgbClr val="3C88A6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4</xdr:col>
      <xdr:colOff>24092</xdr:colOff>
      <xdr:row>21</xdr:row>
      <xdr:rowOff>0</xdr:rowOff>
    </xdr:from>
    <xdr:to>
      <xdr:col>14</xdr:col>
      <xdr:colOff>0</xdr:colOff>
      <xdr:row>32</xdr:row>
      <xdr:rowOff>49306</xdr:rowOff>
    </xdr:to>
    <xdr:graphicFrame macro="">
      <xdr:nvGraphicFramePr>
        <xdr:cNvPr id="30" name="Gráfico Geral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18</xdr:row>
      <xdr:rowOff>0</xdr:rowOff>
    </xdr:from>
    <xdr:to>
      <xdr:col>14</xdr:col>
      <xdr:colOff>285751</xdr:colOff>
      <xdr:row>21</xdr:row>
      <xdr:rowOff>9525</xdr:rowOff>
    </xdr:to>
    <xdr:graphicFrame macro="">
      <xdr:nvGraphicFramePr>
        <xdr:cNvPr id="3" name="Gráfico Barra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0</xdr:colOff>
      <xdr:row>18</xdr:row>
      <xdr:rowOff>0</xdr:rowOff>
    </xdr:from>
    <xdr:to>
      <xdr:col>6</xdr:col>
      <xdr:colOff>758642</xdr:colOff>
      <xdr:row>19</xdr:row>
      <xdr:rowOff>11206</xdr:rowOff>
    </xdr:to>
    <xdr:sp macro="" textlink="SUPORTE!Q8">
      <xdr:nvSpPr>
        <xdr:cNvPr id="4" name="Faixa Atual Valor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962400" y="3943350"/>
          <a:ext cx="1177742" cy="4017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l"/>
          <a:fld id="{7FEA0B33-8CB5-4C81-9243-CD624F2299DA}" type="TxLink">
            <a:rPr lang="en-US" sz="1200" b="0" i="0" u="none" strike="noStrike">
              <a:solidFill>
                <a:srgbClr val="43525B"/>
              </a:solidFill>
              <a:latin typeface="Calibri"/>
              <a:ea typeface="+mn-ea"/>
              <a:cs typeface="Calibri"/>
            </a:rPr>
            <a:pPr marL="0" indent="0" algn="l"/>
            <a:t>0,00</a:t>
          </a:fld>
          <a:endParaRPr lang="pt-BR" sz="1200" b="0" i="0" u="none" strike="noStrike">
            <a:solidFill>
              <a:srgbClr val="43525B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13</xdr:col>
      <xdr:colOff>0</xdr:colOff>
      <xdr:row>18</xdr:row>
      <xdr:rowOff>0</xdr:rowOff>
    </xdr:from>
    <xdr:to>
      <xdr:col>13</xdr:col>
      <xdr:colOff>962024</xdr:colOff>
      <xdr:row>19</xdr:row>
      <xdr:rowOff>44823</xdr:rowOff>
    </xdr:to>
    <xdr:sp macro="" textlink="SUPORTE!Q9">
      <xdr:nvSpPr>
        <xdr:cNvPr id="6" name="Próxima Faixa Valor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11811000" y="3943350"/>
          <a:ext cx="962024" cy="4353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r"/>
          <a:fld id="{25DFE442-DA05-4528-B194-778AF547D70A}" type="TxLink">
            <a:rPr lang="en-US" sz="1200" b="0" i="0" u="none" strike="noStrike">
              <a:solidFill>
                <a:srgbClr val="43525B"/>
              </a:solidFill>
              <a:latin typeface="Calibri"/>
              <a:ea typeface="+mn-ea"/>
              <a:cs typeface="Calibri"/>
            </a:rPr>
            <a:pPr marL="0" indent="0" algn="r"/>
            <a:t>180.000,00</a:t>
          </a:fld>
          <a:endParaRPr lang="pt-BR" sz="1200" b="0" i="0" u="none" strike="noStrike">
            <a:solidFill>
              <a:srgbClr val="43525B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5</xdr:col>
      <xdr:colOff>0</xdr:colOff>
      <xdr:row>18</xdr:row>
      <xdr:rowOff>0</xdr:rowOff>
    </xdr:from>
    <xdr:to>
      <xdr:col>14</xdr:col>
      <xdr:colOff>1</xdr:colOff>
      <xdr:row>19</xdr:row>
      <xdr:rowOff>0</xdr:rowOff>
    </xdr:to>
    <xdr:sp macro="" textlink="">
      <xdr:nvSpPr>
        <xdr:cNvPr id="8" name="Titulo Barra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3962400" y="3943350"/>
          <a:ext cx="8867776" cy="3905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800" b="0" i="0" u="none" strike="noStrike" cap="small">
              <a:solidFill>
                <a:srgbClr val="43525B"/>
              </a:solidFill>
              <a:latin typeface="Calibri"/>
              <a:cs typeface="Calibri"/>
            </a:rPr>
            <a:t>Porcentagem</a:t>
          </a:r>
          <a:r>
            <a:rPr lang="en-US" sz="1800" b="0" i="0" u="none" strike="noStrike" cap="small" baseline="0">
              <a:solidFill>
                <a:srgbClr val="43525B"/>
              </a:solidFill>
              <a:latin typeface="Calibri"/>
              <a:cs typeface="Calibri"/>
            </a:rPr>
            <a:t> de Faturamento Total Dentro da Faixa</a:t>
          </a:r>
          <a:endParaRPr lang="en-US" sz="1800" b="0" i="0" u="none" strike="noStrike" cap="small">
            <a:solidFill>
              <a:srgbClr val="43525B"/>
            </a:solidFill>
            <a:latin typeface="Calibri"/>
            <a:cs typeface="Calibri"/>
          </a:endParaRPr>
        </a:p>
      </xdr:txBody>
    </xdr:sp>
    <xdr:clientData/>
  </xdr:twoCellAnchor>
  <xdr:twoCellAnchor editAs="absolute">
    <xdr:from>
      <xdr:col>9</xdr:col>
      <xdr:colOff>479613</xdr:colOff>
      <xdr:row>19</xdr:row>
      <xdr:rowOff>83484</xdr:rowOff>
    </xdr:from>
    <xdr:to>
      <xdr:col>11</xdr:col>
      <xdr:colOff>344582</xdr:colOff>
      <xdr:row>21</xdr:row>
      <xdr:rowOff>61072</xdr:rowOff>
    </xdr:to>
    <xdr:sp macro="" textlink="SUPORTE!Q10">
      <xdr:nvSpPr>
        <xdr:cNvPr id="9" name="A Faturar valor Barra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8213913" y="4417359"/>
          <a:ext cx="1903319" cy="3585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l"/>
          <a:fld id="{0C6251AA-9949-4E1F-B5F1-4CB29C18C4C2}" type="TxLink">
            <a:rPr lang="en-US" sz="1200" b="0" i="0" u="none" strike="noStrike">
              <a:solidFill>
                <a:srgbClr val="3C88A6"/>
              </a:solidFill>
              <a:latin typeface="Calibri"/>
              <a:ea typeface="+mn-ea"/>
              <a:cs typeface="Calibri"/>
            </a:rPr>
            <a:pPr marL="0" indent="0" algn="l"/>
            <a:t>180.000,00</a:t>
          </a:fld>
          <a:endParaRPr lang="pt-BR" sz="1200" b="0" i="0" u="none" strike="noStrike">
            <a:solidFill>
              <a:srgbClr val="3C88A6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7</xdr:col>
      <xdr:colOff>612963</xdr:colOff>
      <xdr:row>19</xdr:row>
      <xdr:rowOff>83484</xdr:rowOff>
    </xdr:from>
    <xdr:to>
      <xdr:col>9</xdr:col>
      <xdr:colOff>477932</xdr:colOff>
      <xdr:row>21</xdr:row>
      <xdr:rowOff>61072</xdr:rowOff>
    </xdr:to>
    <xdr:sp macro="" textlink="SUPORTE!Q4">
      <xdr:nvSpPr>
        <xdr:cNvPr id="10" name="Faturado Valor Barra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6308913" y="4417359"/>
          <a:ext cx="1903319" cy="3585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r"/>
          <a:fld id="{77B0020F-2D43-43F1-AE9C-B25A938F4557}" type="TxLink">
            <a:rPr lang="en-US" sz="1200" b="0" i="0" u="none" strike="noStrike">
              <a:solidFill>
                <a:srgbClr val="3C88A6"/>
              </a:solidFill>
              <a:latin typeface="Calibri"/>
              <a:ea typeface="+mn-ea"/>
              <a:cs typeface="Calibri"/>
            </a:rPr>
            <a:pPr marL="0" indent="0" algn="r"/>
            <a:t>0,00</a:t>
          </a:fld>
          <a:endParaRPr lang="pt-BR" sz="1200" b="0" i="0" u="none" strike="noStrike">
            <a:solidFill>
              <a:srgbClr val="3C88A6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9</xdr:col>
      <xdr:colOff>365313</xdr:colOff>
      <xdr:row>19</xdr:row>
      <xdr:rowOff>83484</xdr:rowOff>
    </xdr:from>
    <xdr:to>
      <xdr:col>9</xdr:col>
      <xdr:colOff>595594</xdr:colOff>
      <xdr:row>21</xdr:row>
      <xdr:rowOff>61072</xdr:rowOff>
    </xdr:to>
    <xdr:sp macro="" textlink="">
      <xdr:nvSpPr>
        <xdr:cNvPr id="11" name="Separador Fat/a Fat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8099613" y="4417359"/>
          <a:ext cx="230281" cy="3585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marL="0" indent="0" algn="l"/>
          <a:r>
            <a:rPr lang="en-US" sz="1400" b="0" i="0" u="none" strike="noStrike">
              <a:solidFill>
                <a:srgbClr val="43525B"/>
              </a:solidFill>
              <a:latin typeface="Calibri"/>
              <a:ea typeface="+mn-ea"/>
              <a:cs typeface="Calibri"/>
            </a:rPr>
            <a:t>/</a:t>
          </a:r>
        </a:p>
      </xdr:txBody>
    </xdr:sp>
    <xdr:clientData/>
  </xdr:twoCellAnchor>
  <xdr:twoCellAnchor editAs="absolute">
    <xdr:from>
      <xdr:col>1</xdr:col>
      <xdr:colOff>0</xdr:colOff>
      <xdr:row>1</xdr:row>
      <xdr:rowOff>0</xdr:rowOff>
    </xdr:from>
    <xdr:to>
      <xdr:col>13</xdr:col>
      <xdr:colOff>921683</xdr:colOff>
      <xdr:row>1</xdr:row>
      <xdr:rowOff>0</xdr:rowOff>
    </xdr:to>
    <xdr:cxnSp macro="">
      <xdr:nvCxnSpPr>
        <xdr:cNvPr id="12" name="Linha Títul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flipH="1">
          <a:off x="381000" y="514350"/>
          <a:ext cx="12496800" cy="0"/>
        </a:xfrm>
        <a:prstGeom prst="line">
          <a:avLst/>
        </a:prstGeom>
        <a:ln w="38100">
          <a:solidFill>
            <a:srgbClr val="3C88A6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1029260</xdr:colOff>
      <xdr:row>1</xdr:row>
      <xdr:rowOff>0</xdr:rowOff>
    </xdr:from>
    <xdr:to>
      <xdr:col>8</xdr:col>
      <xdr:colOff>912159</xdr:colOff>
      <xdr:row>3</xdr:row>
      <xdr:rowOff>0</xdr:rowOff>
    </xdr:to>
    <xdr:sp macro="" textlink="">
      <xdr:nvSpPr>
        <xdr:cNvPr id="13" name="Botão Anexo V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6724649" y="514350"/>
          <a:ext cx="1047751" cy="333375"/>
        </a:xfrm>
        <a:prstGeom prst="foldedCorner">
          <a:avLst>
            <a:gd name="adj" fmla="val 26624"/>
          </a:avLst>
        </a:prstGeom>
        <a:solidFill>
          <a:srgbClr val="43525B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V</a:t>
          </a:r>
        </a:p>
      </xdr:txBody>
    </xdr:sp>
    <xdr:clientData/>
  </xdr:twoCellAnchor>
  <xdr:twoCellAnchor editAs="absolute">
    <xdr:from>
      <xdr:col>6</xdr:col>
      <xdr:colOff>1285874</xdr:colOff>
      <xdr:row>1</xdr:row>
      <xdr:rowOff>0</xdr:rowOff>
    </xdr:from>
    <xdr:to>
      <xdr:col>7</xdr:col>
      <xdr:colOff>1019736</xdr:colOff>
      <xdr:row>3</xdr:row>
      <xdr:rowOff>0</xdr:rowOff>
    </xdr:to>
    <xdr:sp macro="" textlink="">
      <xdr:nvSpPr>
        <xdr:cNvPr id="14" name="Botão Anexo IV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5667374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IV</a:t>
          </a:r>
        </a:p>
      </xdr:txBody>
    </xdr:sp>
    <xdr:clientData/>
  </xdr:twoCellAnchor>
  <xdr:twoCellAnchor editAs="absolute">
    <xdr:from>
      <xdr:col>6</xdr:col>
      <xdr:colOff>228599</xdr:colOff>
      <xdr:row>1</xdr:row>
      <xdr:rowOff>0</xdr:rowOff>
    </xdr:from>
    <xdr:to>
      <xdr:col>6</xdr:col>
      <xdr:colOff>1276350</xdr:colOff>
      <xdr:row>3</xdr:row>
      <xdr:rowOff>0</xdr:rowOff>
    </xdr:to>
    <xdr:sp macro="" textlink="">
      <xdr:nvSpPr>
        <xdr:cNvPr id="15" name="Botão Anexo III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4610099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III</a:t>
          </a:r>
        </a:p>
      </xdr:txBody>
    </xdr:sp>
    <xdr:clientData/>
  </xdr:twoCellAnchor>
  <xdr:twoCellAnchor editAs="absolute">
    <xdr:from>
      <xdr:col>3</xdr:col>
      <xdr:colOff>1371599</xdr:colOff>
      <xdr:row>1</xdr:row>
      <xdr:rowOff>0</xdr:rowOff>
    </xdr:from>
    <xdr:to>
      <xdr:col>6</xdr:col>
      <xdr:colOff>219075</xdr:colOff>
      <xdr:row>3</xdr:row>
      <xdr:rowOff>0</xdr:rowOff>
    </xdr:to>
    <xdr:sp macro="" textlink="">
      <xdr:nvSpPr>
        <xdr:cNvPr id="16" name="Botão Anexo II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3552824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II</a:t>
          </a:r>
        </a:p>
      </xdr:txBody>
    </xdr:sp>
    <xdr:clientData/>
  </xdr:twoCellAnchor>
  <xdr:twoCellAnchor editAs="absolute">
    <xdr:from>
      <xdr:col>3</xdr:col>
      <xdr:colOff>314324</xdr:colOff>
      <xdr:row>1</xdr:row>
      <xdr:rowOff>0</xdr:rowOff>
    </xdr:from>
    <xdr:to>
      <xdr:col>3</xdr:col>
      <xdr:colOff>1362075</xdr:colOff>
      <xdr:row>3</xdr:row>
      <xdr:rowOff>0</xdr:rowOff>
    </xdr:to>
    <xdr:sp macro="" textlink="">
      <xdr:nvSpPr>
        <xdr:cNvPr id="17" name="Botão Anexo I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2495549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ANEXO I</a:t>
          </a:r>
        </a:p>
      </xdr:txBody>
    </xdr:sp>
    <xdr:clientData/>
  </xdr:twoCellAnchor>
  <xdr:twoCellAnchor editAs="absolute">
    <xdr:from>
      <xdr:col>2</xdr:col>
      <xdr:colOff>257174</xdr:colOff>
      <xdr:row>1</xdr:row>
      <xdr:rowOff>0</xdr:rowOff>
    </xdr:from>
    <xdr:to>
      <xdr:col>3</xdr:col>
      <xdr:colOff>304800</xdr:colOff>
      <xdr:row>3</xdr:row>
      <xdr:rowOff>0</xdr:rowOff>
    </xdr:to>
    <xdr:sp macro="" textlink="">
      <xdr:nvSpPr>
        <xdr:cNvPr id="18" name="Botão Fator 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1438274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FATOR R</a:t>
          </a:r>
        </a:p>
      </xdr:txBody>
    </xdr:sp>
    <xdr:clientData/>
  </xdr:twoCellAnchor>
  <xdr:twoCellAnchor editAs="absolute">
    <xdr:from>
      <xdr:col>0</xdr:col>
      <xdr:colOff>380999</xdr:colOff>
      <xdr:row>1</xdr:row>
      <xdr:rowOff>0</xdr:rowOff>
    </xdr:from>
    <xdr:to>
      <xdr:col>2</xdr:col>
      <xdr:colOff>247650</xdr:colOff>
      <xdr:row>3</xdr:row>
      <xdr:rowOff>0</xdr:rowOff>
    </xdr:to>
    <xdr:sp macro="" textlink="">
      <xdr:nvSpPr>
        <xdr:cNvPr id="19" name="Botão Instruçõe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380999" y="514350"/>
          <a:ext cx="1047751" cy="333375"/>
        </a:xfrm>
        <a:prstGeom prst="foldedCorner">
          <a:avLst>
            <a:gd name="adj" fmla="val 26624"/>
          </a:avLst>
        </a:prstGeom>
        <a:solidFill>
          <a:srgbClr val="3C88A6"/>
        </a:solidFill>
        <a:ln w="317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/>
            <a:t>INSTRUÇÕES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68580</xdr:colOff>
          <xdr:row>7</xdr:row>
          <xdr:rowOff>160020</xdr:rowOff>
        </xdr:from>
        <xdr:to>
          <xdr:col>1</xdr:col>
          <xdr:colOff>693420</xdr:colOff>
          <xdr:row>8</xdr:row>
          <xdr:rowOff>121920</xdr:rowOff>
        </xdr:to>
        <xdr:sp macro="" textlink="">
          <xdr:nvSpPr>
            <xdr:cNvPr id="22529" name="Mês Referência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7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109794</xdr:colOff>
      <xdr:row>6</xdr:row>
      <xdr:rowOff>280990</xdr:rowOff>
    </xdr:from>
    <xdr:to>
      <xdr:col>1</xdr:col>
      <xdr:colOff>96326</xdr:colOff>
      <xdr:row>7</xdr:row>
      <xdr:rowOff>244913</xdr:rowOff>
    </xdr:to>
    <xdr:sp macro="" textlink="">
      <xdr:nvSpPr>
        <xdr:cNvPr id="21" name="Seta: Mês Referência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 rot="18034129">
          <a:off x="121098" y="1546036"/>
          <a:ext cx="344923" cy="367532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12</xdr:col>
      <xdr:colOff>619125</xdr:colOff>
      <xdr:row>0</xdr:row>
      <xdr:rowOff>0</xdr:rowOff>
    </xdr:from>
    <xdr:to>
      <xdr:col>13</xdr:col>
      <xdr:colOff>917377</xdr:colOff>
      <xdr:row>1</xdr:row>
      <xdr:rowOff>0</xdr:rowOff>
    </xdr:to>
    <xdr:pic>
      <xdr:nvPicPr>
        <xdr:cNvPr id="22" name="Logo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0950" y="0"/>
          <a:ext cx="1317428" cy="514350"/>
        </a:xfrm>
        <a:prstGeom prst="rect">
          <a:avLst/>
        </a:prstGeom>
      </xdr:spPr>
    </xdr:pic>
    <xdr:clientData/>
  </xdr:twoCellAnchor>
  <xdr:twoCellAnchor editAs="absolute">
    <xdr:from>
      <xdr:col>14</xdr:col>
      <xdr:colOff>392206</xdr:colOff>
      <xdr:row>6</xdr:row>
      <xdr:rowOff>0</xdr:rowOff>
    </xdr:from>
    <xdr:to>
      <xdr:col>14</xdr:col>
      <xdr:colOff>1636059</xdr:colOff>
      <xdr:row>8</xdr:row>
      <xdr:rowOff>281206</xdr:rowOff>
    </xdr:to>
    <xdr:grpSp>
      <xdr:nvGrpSpPr>
        <xdr:cNvPr id="23" name="Agrupa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GrpSpPr/>
      </xdr:nvGrpSpPr>
      <xdr:grpSpPr>
        <a:xfrm>
          <a:off x="13731688" y="1443318"/>
          <a:ext cx="1243853" cy="944594"/>
          <a:chOff x="7149353" y="4250317"/>
          <a:chExt cx="2945970" cy="948762"/>
        </a:xfrm>
      </xdr:grpSpPr>
      <xdr:sp macro="" textlink="">
        <xdr:nvSpPr>
          <xdr:cNvPr id="24" name="Retângulo 23">
            <a:extLst>
              <a:ext uri="{FF2B5EF4-FFF2-40B4-BE49-F238E27FC236}">
                <a16:creationId xmlns:a16="http://schemas.microsoft.com/office/drawing/2014/main" id="{00000000-0008-0000-0700-000018000000}"/>
              </a:ext>
            </a:extLst>
          </xdr:cNvPr>
          <xdr:cNvSpPr/>
        </xdr:nvSpPr>
        <xdr:spPr>
          <a:xfrm>
            <a:off x="7149353" y="4527176"/>
            <a:ext cx="2945970" cy="671903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just"/>
            <a:endParaRPr lang="pt-BR" sz="1100">
              <a:solidFill>
                <a:srgbClr val="43525B"/>
              </a:solidFill>
            </a:endParaRP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2530" name="Drop Down 2" hidden="1">
                <a:extLst>
                  <a:ext uri="{63B3BB69-23CF-44E3-9099-C40C66FF867C}">
                    <a14:compatExt spid="_x0000_s22530"/>
                  </a:ext>
                  <a:ext uri="{FF2B5EF4-FFF2-40B4-BE49-F238E27FC236}">
                    <a16:creationId xmlns:a16="http://schemas.microsoft.com/office/drawing/2014/main" id="{00000000-0008-0000-0700-000002580000}"/>
                  </a:ext>
                </a:extLst>
              </xdr:cNvPr>
              <xdr:cNvSpPr/>
            </xdr:nvSpPr>
            <xdr:spPr bwMode="auto">
              <a:xfrm>
                <a:off x="7600535" y="4695938"/>
                <a:ext cx="1990520" cy="28014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6" name="Retângulo 25">
            <a:extLst>
              <a:ext uri="{FF2B5EF4-FFF2-40B4-BE49-F238E27FC236}">
                <a16:creationId xmlns:a16="http://schemas.microsoft.com/office/drawing/2014/main" id="{00000000-0008-0000-0700-00001A000000}"/>
              </a:ext>
            </a:extLst>
          </xdr:cNvPr>
          <xdr:cNvSpPr/>
        </xdr:nvSpPr>
        <xdr:spPr>
          <a:xfrm>
            <a:off x="7149353" y="4250317"/>
            <a:ext cx="2945970" cy="268642"/>
          </a:xfrm>
          <a:prstGeom prst="rect">
            <a:avLst/>
          </a:prstGeom>
          <a:solidFill>
            <a:srgbClr val="3C88A6"/>
          </a:solidFill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/>
              <a:t>RETENÇÃO DE ISS</a:t>
            </a:r>
          </a:p>
        </xdr:txBody>
      </xdr:sp>
    </xdr:grpSp>
    <xdr:clientData/>
  </xdr:twoCellAnchor>
  <xdr:twoCellAnchor editAs="absolute">
    <xdr:from>
      <xdr:col>3</xdr:col>
      <xdr:colOff>1228724</xdr:colOff>
      <xdr:row>19</xdr:row>
      <xdr:rowOff>0</xdr:rowOff>
    </xdr:from>
    <xdr:to>
      <xdr:col>5</xdr:col>
      <xdr:colOff>0</xdr:colOff>
      <xdr:row>20</xdr:row>
      <xdr:rowOff>0</xdr:rowOff>
    </xdr:to>
    <xdr:sp macro="" textlink="SUPORTE!Q6">
      <xdr:nvSpPr>
        <xdr:cNvPr id="27" name="Faixa Atual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/>
      </xdr:nvSpPr>
      <xdr:spPr>
        <a:xfrm>
          <a:off x="3402665" y="4616824"/>
          <a:ext cx="553011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r"/>
          <a:fld id="{978F7072-946D-49E1-8031-317C97377654}" type="TxLink">
            <a:rPr lang="en-US" sz="2000" b="0" i="0" u="none" strike="noStrike">
              <a:solidFill>
                <a:srgbClr val="3C88A6"/>
              </a:solidFill>
              <a:latin typeface="Calibri"/>
              <a:ea typeface="+mn-ea"/>
              <a:cs typeface="Calibri"/>
            </a:rPr>
            <a:pPr marL="0" indent="0" algn="r"/>
            <a:t>1</a:t>
          </a:fld>
          <a:endParaRPr lang="pt-BR" sz="4400" b="1" i="0" u="none" strike="noStrike">
            <a:solidFill>
              <a:srgbClr val="3C88A6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14</xdr:col>
      <xdr:colOff>0</xdr:colOff>
      <xdr:row>19</xdr:row>
      <xdr:rowOff>0</xdr:rowOff>
    </xdr:from>
    <xdr:to>
      <xdr:col>15</xdr:col>
      <xdr:colOff>67235</xdr:colOff>
      <xdr:row>20</xdr:row>
      <xdr:rowOff>0</xdr:rowOff>
    </xdr:to>
    <xdr:sp macro="" textlink="SUPORTE!Q7">
      <xdr:nvSpPr>
        <xdr:cNvPr id="28" name="Próxima Faixa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/>
      </xdr:nvSpPr>
      <xdr:spPr>
        <a:xfrm>
          <a:off x="12819529" y="4616824"/>
          <a:ext cx="1972235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fld id="{25EF9E70-A390-4F48-B343-3F1DB7DBF410}" type="TxLink">
            <a:rPr lang="en-US" sz="2000" b="0" i="0" u="none" strike="noStrike">
              <a:solidFill>
                <a:srgbClr val="3C88A6"/>
              </a:solidFill>
              <a:latin typeface="Calibri"/>
              <a:ea typeface="+mn-ea"/>
              <a:cs typeface="Calibri"/>
            </a:rPr>
            <a:pPr marL="0" indent="0" algn="l"/>
            <a:t>2</a:t>
          </a:fld>
          <a:endParaRPr lang="pt-BR" sz="4400" b="1" i="0" u="none" strike="noStrike">
            <a:solidFill>
              <a:srgbClr val="3C88A6"/>
            </a:solidFill>
            <a:latin typeface="Calibri"/>
            <a:ea typeface="+mn-ea"/>
            <a:cs typeface="Calibri"/>
          </a:endParaRPr>
        </a:p>
      </xdr:txBody>
    </xdr:sp>
    <xdr:clientData/>
  </xdr:twoCellAnchor>
  <xdr:twoCellAnchor editAs="absolute">
    <xdr:from>
      <xdr:col>4</xdr:col>
      <xdr:colOff>24092</xdr:colOff>
      <xdr:row>21</xdr:row>
      <xdr:rowOff>0</xdr:rowOff>
    </xdr:from>
    <xdr:to>
      <xdr:col>14</xdr:col>
      <xdr:colOff>0</xdr:colOff>
      <xdr:row>32</xdr:row>
      <xdr:rowOff>49306</xdr:rowOff>
    </xdr:to>
    <xdr:graphicFrame macro="">
      <xdr:nvGraphicFramePr>
        <xdr:cNvPr id="29" name="Gráfico Geral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514350</xdr:colOff>
      <xdr:row>16</xdr:row>
      <xdr:rowOff>161925</xdr:rowOff>
    </xdr:from>
    <xdr:to>
      <xdr:col>25</xdr:col>
      <xdr:colOff>135032</xdr:colOff>
      <xdr:row>28</xdr:row>
      <xdr:rowOff>20731</xdr:rowOff>
    </xdr:to>
    <xdr:graphicFrame macro="">
      <xdr:nvGraphicFramePr>
        <xdr:cNvPr id="2" name="Gráfico Gera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3E327D6D-AE37-401F-A2AB-30A621B7928C}" name="T_ErroFatorR" displayName="T_ErroFatorR" ref="AA8:AB11" totalsRowShown="0" headerRowDxfId="301" dataDxfId="300">
  <autoFilter ref="AA8:AB11" xr:uid="{2B219964-F9D5-4E67-AC0B-D2CE27A942BD}"/>
  <tableColumns count="2">
    <tableColumn id="1" xr3:uid="{018AA52E-5059-443E-A860-E9694817DA1F}" name="AVISO" dataDxfId="299"/>
    <tableColumn id="2" xr3:uid="{F81E2D56-286D-42C4-B258-CEDA94E232D6}" name="DESCRIÇÃO" dataDxfId="298"/>
  </tableColumns>
  <tableStyleInfo name="DLC_TABLE_STYLE_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B377BE5-2427-4BAA-A035-27AA3862F786}" name="T_A2" displayName="T_A2" ref="F7:O9" totalsRowShown="0" headerRowDxfId="221" dataDxfId="220">
  <autoFilter ref="F7:O9" xr:uid="{3A6F7822-87BD-4EC0-9AB1-0D481774C7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96BAD1CD-0208-410E-8ED7-DDA8B3EBC5EF}" name="FAIXA" dataDxfId="219">
      <calculatedColumnFormula>SUPORTE!$Q$6</calculatedColumnFormula>
    </tableColumn>
    <tableColumn id="3" xr3:uid="{0845613A-D5BD-4570-903D-D8A071FCAFD5}" name="FATURAMENTO NO MÊS DE REFERÊNCIA" dataDxfId="218">
      <calculatedColumnFormula>IFERROR(SUMIFS('Anexo II - Indústria'!$C$21:$C$92,'Anexo II - Indústria'!$B$21:$B$92,IF(MATCH(T_DtRef[DATA REFERENCIA],'Anexo II - Indústria'!$B$21:$B$92,0)=1,"=","&lt;")&amp;T_DtRef[DATA REFERENCIA],'Anexo II - Indústria'!$B$21:$B$92,"&gt;="&amp;IF(MATCH(T_DtRef[DATA REFERENCIA],'Anexo II - Indústria'!$B$21:$B$92,0)&lt;12,T_DtIni[DATA INICIAL],EDATE(T_DtRef[DATA REFERENCIA],-12)))/(IF(MATCH(T_DtRef[DATA REFERENCIA],'Anexo II - Indústria'!$B$21:$B$92,0)&gt;12,12,MATCH(T_DtRef[DATA REFERENCIA],'Anexo II - Indústria'!$B$21:$B$92,0)-1))*12,0)</calculatedColumnFormula>
    </tableColumn>
    <tableColumn id="2" xr3:uid="{CB7C46D2-5D38-4F7E-BF56-A9761FD880BF}" name="ALÍQUOTA EFETIVA" dataDxfId="217" dataCellStyle="Porcentagem">
      <calculatedColumnFormula>ROUND(($C$8*VLOOKUP(SUPORTE!$Q$6,T_TaxaA2[],MATCH(H7,T_TaxaA2[#Headers],0),0)-VLOOKUP(SUPORTE!$Q$6,T_TaxaA2[],MATCH("VALOR A DEDUZIR (R$)",T_TaxaA2[#Headers],0),0))/$C$8,4)</calculatedColumnFormula>
    </tableColumn>
    <tableColumn id="4" xr3:uid="{B064DBAD-5284-478D-80D0-3161AE679E18}" name="IRPJ" dataDxfId="216" dataCellStyle="Porcentagem">
      <calculatedColumnFormula>IF(MAX($Q$9:$V$9)=Q9,Q9+(($X$9-$H$8)/COUNTIF($Q$9:$V$9,Q9)),Q9)</calculatedColumnFormula>
    </tableColumn>
    <tableColumn id="5" xr3:uid="{0B0A541E-715A-4D5E-AC6B-EB21F920D6DE}" name="CSLL" dataDxfId="215" dataCellStyle="Porcentagem">
      <calculatedColumnFormula>IF(MAX($Q$9:$V$9)=R9,R9+(($X$9-$H$8)/COUNTIF($Q$9:$V$9,R9)),R9)</calculatedColumnFormula>
    </tableColumn>
    <tableColumn id="6" xr3:uid="{5E9C10E3-0122-4F4D-BEA9-BF8FDDE4D70A}" name="COFINS" dataDxfId="214" dataCellStyle="Porcentagem">
      <calculatedColumnFormula>IF(MAX($Q$9:$V$9)=S9,S9+(($X$9-$H$8)/COUNTIF($Q$9:$V$9,S9)),S9)</calculatedColumnFormula>
    </tableColumn>
    <tableColumn id="7" xr3:uid="{C6F2B091-DDBC-432B-BC53-D3E132F92FF0}" name="PIS/PASEP" dataDxfId="213" dataCellStyle="Porcentagem">
      <calculatedColumnFormula>IF(MAX($Q$9:$V$9)=T9,T9+(($X$9-$H$8)/COUNTIF($Q$9:$V$9,T9)),T9)</calculatedColumnFormula>
    </tableColumn>
    <tableColumn id="8" xr3:uid="{D8440611-D202-4DBB-B67D-AD1E96209A16}" name="INSS/CPP" dataDxfId="212" dataCellStyle="Porcentagem">
      <calculatedColumnFormula>IF(MAX($Q$9:$V$9)=U9,U9+(($X$9-$H$8)/COUNTIF($Q$9:$V$9,U9)),U9)</calculatedColumnFormula>
    </tableColumn>
    <tableColumn id="9" xr3:uid="{DE2EBD01-6DD5-4949-B885-FACE684F3CED}" name="IPI" dataDxfId="211" dataCellStyle="Porcentagem">
      <calculatedColumnFormula>IF(MAX($Q$9:$V$9)=V9,V9+(($X$9-$H$8)/COUNTIF($Q$9:$V$9,V9)),V9)</calculatedColumnFormula>
    </tableColumn>
    <tableColumn id="10" xr3:uid="{61880026-F8B8-4860-A0DC-26EC6F4CBF40}" name="ICMS" dataDxfId="210" dataCellStyle="Porcentagem"/>
  </tableColumns>
  <tableStyleInfo name="DLC_TABLE_STYLE_1 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1D899E3-30D4-441C-89AC-7AAD93689CCE}" name="T_A2Suporte" displayName="T_A2Suporte" ref="Q7:X10" headerRowDxfId="209" dataDxfId="208" totalsRowDxfId="207" dataCellStyle="Porcentagem" totalsRowCellStyle="Porcentagem">
  <autoFilter ref="Q7:X10" xr:uid="{4E029D32-639E-4342-948A-59F23835DB1C}"/>
  <tableColumns count="8">
    <tableColumn id="4" xr3:uid="{F01A7C96-0C34-4BAA-8AE0-DD2999EEA775}" name="IRPJ" totalsRowFunction="custom" dataDxfId="206" dataCellStyle="Porcentagem">
      <totalsRowFormula>Q9-Q8</totalsRowFormula>
    </tableColumn>
    <tableColumn id="5" xr3:uid="{0663953C-7C45-4C6C-95E6-5514A4511F4E}" name="CSLL" totalsRowFunction="custom" dataDxfId="205" dataCellStyle="Porcentagem">
      <totalsRowFormula>R9-R8</totalsRowFormula>
    </tableColumn>
    <tableColumn id="6" xr3:uid="{901D767C-00EB-4CF2-BAE6-B52079F46CBE}" name="COFINS" totalsRowFunction="custom" dataDxfId="204" dataCellStyle="Porcentagem">
      <totalsRowFormula>S9-S8</totalsRowFormula>
    </tableColumn>
    <tableColumn id="7" xr3:uid="{C09B6EFF-85CC-436A-ABEB-592216F1C858}" name="PIS/PASEP" totalsRowFunction="custom" dataDxfId="203" dataCellStyle="Porcentagem">
      <totalsRowFormula>T9-T8</totalsRowFormula>
    </tableColumn>
    <tableColumn id="8" xr3:uid="{87F46576-5606-495A-9060-87E2C72DA539}" name="INSS/CPP" totalsRowFunction="custom" dataDxfId="202" dataCellStyle="Porcentagem">
      <totalsRowFormula>U9-U8</totalsRowFormula>
    </tableColumn>
    <tableColumn id="9" xr3:uid="{5E47CC21-123D-4946-829D-99CDC6FC698E}" name="IPI" totalsRowFunction="custom" dataDxfId="201" dataCellStyle="Porcentagem">
      <totalsRowFormula>V9-V8</totalsRowFormula>
    </tableColumn>
    <tableColumn id="1" xr3:uid="{141E9DB4-B0E9-4C18-8588-F995229B74A3}" name="ICMS" dataDxfId="200" dataCellStyle="Porcentagem"/>
    <tableColumn id="10" xr3:uid="{E6433557-C420-44F9-8A33-2E781408252A}" name="TOTAL" totalsRowFunction="custom" dataDxfId="199" dataCellStyle="Porcentagem">
      <calculatedColumnFormula>SUM(T_A2Suporte[[#This Row],[IRPJ]:[ICMS]])</calculatedColumnFormula>
      <totalsRowFormula>X9-#REF!</totalsRowFormula>
    </tableColumn>
  </tableColumns>
  <tableStyleInfo name="DLC_TABLE_STYLE_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3C2EDB6F-37EA-4281-8B13-351CA29E9C3F}" name="T_ErroA2" displayName="T_ErroA2" ref="AA7:AB10" totalsRowShown="0" headerRowDxfId="198">
  <autoFilter ref="AA7:AB10" xr:uid="{246AC058-EB9B-4D54-BB1C-538EAD000DC8}"/>
  <tableColumns count="2">
    <tableColumn id="1" xr3:uid="{4BCBEA72-2AEB-4A7C-847B-8525701F1789}" name="AVISO" dataDxfId="197"/>
    <tableColumn id="2" xr3:uid="{560751B0-DD63-4412-B2DD-A6C8FDE67AE7}" name="DESCRIÇÃO" dataDxfId="196"/>
  </tableColumns>
  <tableStyleInfo name="DLC_TABLE_STYLE_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FF09B777-D826-45DF-9ED6-140C1CA2FA08}" name="T_AliquotaA2" displayName="T_AliquotaA2" ref="Q13:Q14" totalsRowShown="0" headerRowDxfId="195" dataDxfId="194" tableBorderDxfId="193" dataCellStyle="Porcentagem">
  <autoFilter ref="Q13:Q14" xr:uid="{D3D88D89-36CA-44A8-8278-71B5E5E48CA6}">
    <filterColumn colId="0" hiddenButton="1"/>
  </autoFilter>
  <tableColumns count="1">
    <tableColumn id="1" xr3:uid="{3347A0D9-D3CA-4FC6-A1B9-F16302C6A9E6}" name="ALÍQUOTA NOMINAL" dataDxfId="192" dataCellStyle="Porcentagem">
      <calculatedColumnFormula>IFERROR(($C$8*VLOOKUP(SUPORTE!$Q$6,T_TaxaA2[],MATCH(Q13,T_TaxaA2[#Headers],0),0)-VLOOKUP(SUPORTE!$Q$6,T_TaxaA2[],MATCH("VALOR A DEDUZIR (R$)",T_TaxaA2[#Headers],0),0))/$C$8,0)</calculatedColumnFormula>
    </tableColumn>
  </tableColumns>
  <tableStyleInfo name="DLC_TABLE_STYLE_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5CD3F50-08B5-4A44-8A5C-D62799C084AB}" name="T_FaixaA3" displayName="T_FaixaA3" ref="B11:D17" totalsRowShown="0" headerRowDxfId="181" dataDxfId="180">
  <autoFilter ref="B11:D17" xr:uid="{75880A1A-D224-47B6-84DC-FBBBC433FCEC}">
    <filterColumn colId="0" hiddenButton="1"/>
    <filterColumn colId="1" hiddenButton="1"/>
    <filterColumn colId="2" hiddenButton="1"/>
  </autoFilter>
  <tableColumns count="3">
    <tableColumn id="1" xr3:uid="{37A42A84-1B0F-4040-85B3-B722C03BE881}" name="FAIXA" dataDxfId="179"/>
    <tableColumn id="2" xr3:uid="{9553FD9A-D78C-4289-8F8C-EDAD9B89BC7C}" name="DE" dataDxfId="178"/>
    <tableColumn id="3" xr3:uid="{DA318F80-FBB9-4F29-9FC7-B021EE043DC4}" name="ATÉ" dataDxfId="177"/>
  </tableColumns>
  <tableStyleInfo name="DLC_TABLE_STYLE_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B49235D-0661-473A-8C35-7CA56D478520}" name="T_TaxaA3" displayName="T_TaxaA3" ref="F11:N19" totalsRowShown="0" headerRowDxfId="176" dataDxfId="175">
  <autoFilter ref="F11:N19" xr:uid="{EB723375-2251-46DE-BF8A-C42DD645FB3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494506FD-B4EF-4351-8261-32FD2A70BAAE}" name="FAIXA" dataDxfId="174"/>
    <tableColumn id="5" xr3:uid="{E264D3F0-56CD-4227-90AE-2747D38767C7}" name="VALOR A DEDUZIR (R$)" dataDxfId="173" dataCellStyle="Vírgula"/>
    <tableColumn id="4" xr3:uid="{05EADEFF-2119-459C-9AE8-4060F30C03A7}" name="ALÍQUOTA NOMINAL" dataDxfId="172"/>
    <tableColumn id="6" xr3:uid="{AF828482-6426-43CB-BC05-5FA9278B81AD}" name="IRPJ" dataDxfId="171"/>
    <tableColumn id="7" xr3:uid="{C42DAF13-6D26-499D-AD98-71C51BEE77DE}" name="CSLL" dataDxfId="170"/>
    <tableColumn id="8" xr3:uid="{7E00C860-A6B7-44CF-993D-310FE1607662}" name="COFINS" dataDxfId="169"/>
    <tableColumn id="9" xr3:uid="{658AFF1A-7B2F-4A48-8214-610E8749C0D6}" name="PIS/PASEP" dataDxfId="168"/>
    <tableColumn id="10" xr3:uid="{34BEB3F9-A43A-44F1-997D-DE8E98C891C4}" name="INSS/CPP" dataDxfId="167"/>
    <tableColumn id="11" xr3:uid="{CD868900-939F-4EBB-ADF6-AC9A0D3526DE}" name="ISS" dataDxfId="166"/>
  </tableColumns>
  <tableStyleInfo name="DLC_TABLE_STYLE_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1C2B84F-44B5-4BBA-A816-2D57D1878A01}" name="T_A3" displayName="T_A3" ref="F7:N9" totalsRowShown="0" headerRowDxfId="165" dataDxfId="164">
  <autoFilter ref="F7:N9" xr:uid="{3A6F7822-87BD-4EC0-9AB1-0D481774C7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A18C8DD9-21B7-4884-9E7C-1195FF1456AC}" name="FAIXA" dataDxfId="163">
      <calculatedColumnFormula>SUPORTE!$Q$6</calculatedColumnFormula>
    </tableColumn>
    <tableColumn id="3" xr3:uid="{FA326E9C-CFC9-49DA-965E-384852C376EF}" name="FATURAMENTO NO MÊS DE REFERÊNCIA" dataDxfId="162">
      <calculatedColumnFormula>IFERROR(SUMIFS('Anexo III - Serviços'!$C$21:$C$92,'Anexo III - Serviços'!$B$21:$B$92,IF(MATCH(T_DtRef[DATA REFERENCIA],'Anexo III - Serviços'!$B$21:$B$92,0)=1,"=","&lt;")&amp;T_DtRef[DATA REFERENCIA],'Anexo III - Serviços'!$B$21:$B$92,"&gt;="&amp;IF(MATCH(T_DtRef[DATA REFERENCIA],'Anexo III - Serviços'!$B$21:$B$92,0)&lt;12,T_DtIni[DATA INICIAL],EDATE(T_DtRef[DATA REFERENCIA],-12)))/(IF(MATCH(T_DtRef[DATA REFERENCIA],'Anexo III - Serviços'!$B$21:$B$92,0)&gt;12,12,MATCH(T_DtRef[DATA REFERENCIA],'Anexo III - Serviços'!$B$21:$B$92,0)-1))*12,0)</calculatedColumnFormula>
    </tableColumn>
    <tableColumn id="2" xr3:uid="{2F9DC840-B410-4B39-BF70-2B49FAA5CCA8}" name="ALÍQUOTA EFETIVA" dataDxfId="161" dataCellStyle="Porcentagem">
      <calculatedColumnFormula>ROUND(($C$8*VLOOKUP(SUPORTE!$Q$6,T_TaxaA3[],MATCH(H7,T_TaxaA3[#Headers],0),0)-VLOOKUP(SUPORTE!$Q$6,T_TaxaA3[],MATCH("VALOR A DEDUZIR (R$)",T_TaxaA3[#Headers],0),0))/$C$8,4)</calculatedColumnFormula>
    </tableColumn>
    <tableColumn id="4" xr3:uid="{0B87123F-82BB-4097-85A1-B53A3B7E5E96}" name="IRPJ" dataDxfId="160" dataCellStyle="Porcentagem">
      <calculatedColumnFormula>IF(MAX($Q$9:$V$9)=Q9,Q9+(($W$9-$H$8)/COUNTIF($Q$9:$V$9,Q9)),Q9)</calculatedColumnFormula>
    </tableColumn>
    <tableColumn id="5" xr3:uid="{9224312D-2B8E-4CCC-9587-D0F888CBB416}" name="CSLL" dataDxfId="159" dataCellStyle="Porcentagem">
      <calculatedColumnFormula>IF(MAX($Q$9:$V$9)=R9,R9+(($W$9-$H$8)/COUNTIF($Q$9:$V$9,R9)),R9)</calculatedColumnFormula>
    </tableColumn>
    <tableColumn id="6" xr3:uid="{4255A8AA-5297-471E-8B2F-E912C06C008C}" name="COFINS" dataDxfId="158" dataCellStyle="Porcentagem">
      <calculatedColumnFormula>IF(MAX($Q$9:$V$9)=S9,S9+(($W$9-$H$8)/COUNTIF($Q$9:$V$9,S9)),S9)</calculatedColumnFormula>
    </tableColumn>
    <tableColumn id="7" xr3:uid="{07949563-1273-47AF-BF3F-851553596DBF}" name="PIS/PASEP" dataDxfId="157" dataCellStyle="Porcentagem">
      <calculatedColumnFormula>IF(MAX($Q$9:$V$9)=T9,T9+(($W$9-$H$8)/COUNTIF($Q$9:$V$9,T9)),T9)</calculatedColumnFormula>
    </tableColumn>
    <tableColumn id="8" xr3:uid="{BF4EFD88-FBB5-4BC6-87AB-3B8549C86DD7}" name="INSS/CPP" dataDxfId="156" dataCellStyle="Porcentagem">
      <calculatedColumnFormula>IF(MAX($Q$9:$V$9)=U9,U9+(($W$9-$H$8)/COUNTIF($Q$9:$V$9,U9)),U9)</calculatedColumnFormula>
    </tableColumn>
    <tableColumn id="9" xr3:uid="{B75E6649-320C-4CD9-BF49-34BE54497289}" name="ISS" dataDxfId="155" dataCellStyle="Porcentagem">
      <calculatedColumnFormula>IF(MAX($Q$9:$V$9)=V9,V9+(($W$9-$H$8)/COUNTIF($Q$9:$V$9,V9)),V9)</calculatedColumnFormula>
    </tableColumn>
  </tableColumns>
  <tableStyleInfo name="DLC_TABLE_STYLE_1 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9FEA5DE-9E63-4FE8-AE5C-324B607C49DD}" name="T_A3Suporte" displayName="T_A3Suporte" ref="Q7:W13" headerRowDxfId="154" dataDxfId="153" totalsRowDxfId="152" dataCellStyle="Porcentagem" totalsRowCellStyle="Porcentagem">
  <autoFilter ref="Q7:W13" xr:uid="{4E029D32-639E-4342-948A-59F23835DB1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4" xr3:uid="{A791E160-4D0D-41F7-8A99-7C44EE5D7E0C}" name="IRPJ" totalsRowFunction="custom" dataDxfId="151" dataCellStyle="Porcentagem">
      <totalsRowFormula>Q9-Q8</totalsRowFormula>
    </tableColumn>
    <tableColumn id="5" xr3:uid="{386A1F55-E789-4C27-9217-9C51B342B2E2}" name="CSLL" totalsRowFunction="custom" dataDxfId="150" dataCellStyle="Porcentagem">
      <totalsRowFormula>R9-R8</totalsRowFormula>
    </tableColumn>
    <tableColumn id="6" xr3:uid="{865EF756-57BC-429F-8353-0E8AC1078D1B}" name="COFINS" totalsRowFunction="custom" dataDxfId="149" dataCellStyle="Porcentagem">
      <totalsRowFormula>S9-S8</totalsRowFormula>
    </tableColumn>
    <tableColumn id="7" xr3:uid="{12402727-8453-4B23-AA51-D6BA2864168C}" name="PIS/PASEP" totalsRowFunction="custom" dataDxfId="148" dataCellStyle="Porcentagem">
      <totalsRowFormula>T9-T8</totalsRowFormula>
    </tableColumn>
    <tableColumn id="8" xr3:uid="{3F0E1203-D9F3-4B92-931A-1EC35C6C066C}" name="INSS/CPP" totalsRowFunction="custom" dataDxfId="147" dataCellStyle="Porcentagem">
      <totalsRowFormula>U9-U8</totalsRowFormula>
    </tableColumn>
    <tableColumn id="9" xr3:uid="{4879D511-1110-4B72-BC23-118BF43EB518}" name="ISS" totalsRowFunction="custom" dataDxfId="146" dataCellStyle="Porcentagem">
      <totalsRowFormula>V9-V8</totalsRowFormula>
    </tableColumn>
    <tableColumn id="10" xr3:uid="{86A0827B-D5F1-41C8-B8A0-E45D0A8BD5A6}" name="TOTAL" totalsRowFunction="custom" dataDxfId="145" dataCellStyle="Porcentagem">
      <calculatedColumnFormula>SUM(T_A3Suporte[[#This Row],[IRPJ]:[ISS]])</calculatedColumnFormula>
      <totalsRowFormula>W9-#REF!</totalsRowFormula>
    </tableColumn>
  </tableColumns>
  <tableStyleInfo name="DLC_TABLE_STYLE_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A596C58A-218B-4973-AB5F-437E1520F9D5}" name="T_LimiteA3" displayName="T_LimiteA3" ref="Q17:Q18" totalsRowShown="0" headerRowDxfId="144" dataDxfId="143">
  <autoFilter ref="Q17:Q18" xr:uid="{B8BC5615-F921-4D17-92B3-43C7A49565FD}">
    <filterColumn colId="0" hiddenButton="1"/>
  </autoFilter>
  <tableColumns count="1">
    <tableColumn id="1" xr3:uid="{2C977C26-4EEB-4808-BA60-6302474D3A0B}" name="LIMITE ISS" dataDxfId="142"/>
  </tableColumns>
  <tableStyleInfo name="DLC_TABLE_STYLE_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424FC22-EE0F-4654-80EF-107414DC2866}" name="T_ErroA3" displayName="T_ErroA3" ref="AA7:AB11" totalsRowShown="0" headerRowDxfId="141" dataDxfId="140">
  <autoFilter ref="AA7:AB11" xr:uid="{A69CA312-B528-4EC3-802A-EDC8CB08EA33}"/>
  <tableColumns count="2">
    <tableColumn id="1" xr3:uid="{E9F4E237-4D42-4814-B9C0-2733FB65C80D}" name="AVISO" dataDxfId="139"/>
    <tableColumn id="2" xr3:uid="{6D93F6FE-662A-45B7-8DC6-DF065E60AE93}" name="DESCRIÇÃO" dataDxfId="138"/>
  </tableColumns>
  <tableStyleInfo name="DLC_TABLE_STYLE_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81C6E4C-E615-44C9-A9D6-637F62D18891}" name="T_FaixaA1" displayName="T_FaixaA1" ref="B11:D17" totalsRowShown="0" headerRowDxfId="290" dataDxfId="289">
  <autoFilter ref="B11:D17" xr:uid="{75880A1A-D224-47B6-84DC-FBBBC433FCEC}">
    <filterColumn colId="0" hiddenButton="1"/>
    <filterColumn colId="1" hiddenButton="1"/>
    <filterColumn colId="2" hiddenButton="1"/>
  </autoFilter>
  <tableColumns count="3">
    <tableColumn id="1" xr3:uid="{80B8D978-5B56-4995-9A40-1C5C3E0A5A20}" name="FAIXA" dataDxfId="288"/>
    <tableColumn id="2" xr3:uid="{06658657-7ACD-48F7-BB7B-2744ACB4FCD2}" name="DE" dataDxfId="287"/>
    <tableColumn id="3" xr3:uid="{FF4EB286-E8C9-4598-A33C-EBCE198DEEA2}" name="ATÉ" dataDxfId="286"/>
  </tableColumns>
  <tableStyleInfo name="DLC_TABLE_STYLE_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213FEA60-587C-468F-A2F3-F42C1AFBB5AD}" name="T_AliquotaA3" displayName="T_AliquotaA3" ref="Y7:Y8" totalsRowShown="0" headerRowDxfId="137" dataDxfId="136" tableBorderDxfId="135" dataCellStyle="Porcentagem">
  <autoFilter ref="Y7:Y8" xr:uid="{3F98B527-3D72-4A05-9DFB-7E4ACB4F5243}">
    <filterColumn colId="0" hiddenButton="1"/>
  </autoFilter>
  <tableColumns count="1">
    <tableColumn id="1" xr3:uid="{0D6A21FA-174E-49E4-89D8-9ACBF15FE55D}" name="ALÍQUOTA NOMINAL" dataDxfId="134" dataCellStyle="Porcentagem">
      <calculatedColumnFormula>IFERROR(($C$8*VLOOKUP(SUPORTE!$Q$6,T_TaxaA3[],MATCH(Y7,T_TaxaA3[#Headers],0),0)-VLOOKUP(SUPORTE!$Q$6,T_TaxaA3[],MATCH("VALOR A DEDUZIR (R$)",T_TaxaA3[#Headers],0),0))/$C$8,0)</calculatedColumnFormula>
    </tableColumn>
  </tableColumns>
  <tableStyleInfo name="DLC_TABLE_STYLE_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F414F1EA-C595-4564-B37D-1F52FCA4FE9A}" name="T_FaixaA4" displayName="T_FaixaA4" ref="B11:D17" totalsRowShown="0" headerRowDxfId="123" dataDxfId="122">
  <autoFilter ref="B11:D17" xr:uid="{75880A1A-D224-47B6-84DC-FBBBC433FCEC}">
    <filterColumn colId="0" hiddenButton="1"/>
    <filterColumn colId="1" hiddenButton="1"/>
    <filterColumn colId="2" hiddenButton="1"/>
  </autoFilter>
  <tableColumns count="3">
    <tableColumn id="1" xr3:uid="{3EABBF70-54F6-48AF-B265-9E3CF5ADD64B}" name="FAIXA" dataDxfId="121"/>
    <tableColumn id="2" xr3:uid="{A6E0C83A-F6A0-46C8-ADAB-51BA61B31254}" name="DE" dataDxfId="120"/>
    <tableColumn id="3" xr3:uid="{462EF779-6659-4493-8733-CCCDA3FBD335}" name="ATÉ" dataDxfId="119"/>
  </tableColumns>
  <tableStyleInfo name="DLC_TABLE_STYLE_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2F5AF7DF-1BC4-4B27-82AC-0FE08597742E}" name="T_TaxaA4" displayName="T_TaxaA4" ref="F11:M18" totalsRowShown="0" headerRowDxfId="118" dataDxfId="117">
  <autoFilter ref="F11:M18" xr:uid="{EB723375-2251-46DE-BF8A-C42DD645FB3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5B0E88D9-F51B-4D86-8839-A8132BBEE5D8}" name="FAIXA" dataDxfId="116"/>
    <tableColumn id="5" xr3:uid="{8F62B57A-C753-441D-BD13-B1FA6CD70909}" name="VALOR A DEDUZIR (R$)" dataDxfId="115" dataCellStyle="Vírgula"/>
    <tableColumn id="4" xr3:uid="{E37AE8D9-334B-4B56-A8D1-A689CA666052}" name="ALÍQUOTA NOMINAL" dataDxfId="114"/>
    <tableColumn id="6" xr3:uid="{2DC3BD1F-6C9D-4C0B-847C-C1D1CA6C9831}" name="IRPJ" dataDxfId="113"/>
    <tableColumn id="7" xr3:uid="{ABBE84EA-6E2F-4DE1-825A-E34EAE0A1159}" name="CSLL" dataDxfId="112"/>
    <tableColumn id="8" xr3:uid="{1BAE6FC9-7C48-44B1-962F-FC207A06A30D}" name="COFINS" dataDxfId="111"/>
    <tableColumn id="9" xr3:uid="{6D20729C-4898-4ED5-8A2A-3E145EE4D10A}" name="PIS/PASEP" dataDxfId="110"/>
    <tableColumn id="10" xr3:uid="{98A85F61-A348-42AA-993F-22CD4989FE99}" name="ISS" dataDxfId="109"/>
  </tableColumns>
  <tableStyleInfo name="DLC_TABLE_STYLE_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E897BDEF-0BFF-4AC1-ACD4-52F4553A22D9}" name="T_A4" displayName="T_A4" ref="F7:M9" totalsRowShown="0" headerRowDxfId="108" dataDxfId="107">
  <autoFilter ref="F7:M9" xr:uid="{3A6F7822-87BD-4EC0-9AB1-0D481774C7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C819CD51-A242-4933-ADD8-CD2A3B46FC09}" name="FAIXA" dataDxfId="106">
      <calculatedColumnFormula>SUPORTE!$Q$6</calculatedColumnFormula>
    </tableColumn>
    <tableColumn id="3" xr3:uid="{EE1C0A97-D59D-46B9-9973-0BDF6AC38BB6}" name="FATURAMENTO NO MÊS DE REFERÊNCIA" dataDxfId="105">
      <calculatedColumnFormula>IFERROR(SUMIFS('Anexo IV - Serviços'!$C$21:$C$92,'Anexo IV - Serviços'!$B$21:$B$92,IF(MATCH(T_DtRef[DATA REFERENCIA],'Anexo IV - Serviços'!$B$21:$B$92,0)=1,"=","&lt;")&amp;T_DtRef[DATA REFERENCIA],'Anexo IV - Serviços'!$B$21:$B$92,"&gt;="&amp;IF(MATCH(T_DtRef[DATA REFERENCIA],'Anexo IV - Serviços'!$B$21:$B$92,0)&lt;12,T_DtIni[DATA INICIAL],EDATE(T_DtRef[DATA REFERENCIA],-12)))/(IF(MATCH(T_DtRef[DATA REFERENCIA],'Anexo IV - Serviços'!$B$21:$B$92,0)&gt;12,12,MATCH(T_DtRef[DATA REFERENCIA],'Anexo IV - Serviços'!$B$21:$B$92,0)-1))*12,0)</calculatedColumnFormula>
    </tableColumn>
    <tableColumn id="2" xr3:uid="{F6F8A330-722F-4445-954E-6126F4AF3A14}" name="ALÍQUOTA EFETIVA" dataDxfId="104" dataCellStyle="Porcentagem">
      <calculatedColumnFormula>ROUND(($C$8*VLOOKUP(SUPORTE!$Q$6,T_TaxaA4[],MATCH(H7,T_TaxaA4[#Headers],0),0)-VLOOKUP(SUPORTE!$Q$6,T_TaxaA4[],MATCH("VALOR A DEDUZIR (R$)",T_TaxaA4[#Headers],0),0))/$C$8,4)</calculatedColumnFormula>
    </tableColumn>
    <tableColumn id="4" xr3:uid="{2C191F56-026B-4E63-88DD-738C187E16ED}" name="IRPJ" dataDxfId="103" dataCellStyle="Porcentagem">
      <calculatedColumnFormula>IF(MAX($Q$9:$U$9)=Q9,Q9+(($V$9-$H$8)/COUNTIF($Q$9:$U$9,Q9)),Q9)</calculatedColumnFormula>
    </tableColumn>
    <tableColumn id="5" xr3:uid="{C35C909A-A2E2-45DE-A7B1-3A4799D1E4F7}" name="CSLL" dataDxfId="102" dataCellStyle="Porcentagem">
      <calculatedColumnFormula>IF(MAX($Q$9:$U$9)=R9,R9+(($V$9-$H$8)/COUNTIF($Q$9:$U$9,R9)),R9)</calculatedColumnFormula>
    </tableColumn>
    <tableColumn id="6" xr3:uid="{A3A6BAB9-6E7A-4D4A-9965-A105F8F31862}" name="COFINS" dataDxfId="101" dataCellStyle="Porcentagem">
      <calculatedColumnFormula>IF(MAX($Q$9:$U$9)=S9,S9+(($V$9-$H$8)/COUNTIF($Q$9:$U$9,S9)),S9)</calculatedColumnFormula>
    </tableColumn>
    <tableColumn id="7" xr3:uid="{2FE3C85F-60F4-4CA6-BA24-E3F7980E22ED}" name="PIS/PASEP" dataDxfId="100" dataCellStyle="Porcentagem">
      <calculatedColumnFormula>IF(MAX($Q$9:$U$9)=T9,T9+(($V$9-$H$8)/COUNTIF($Q$9:$U$9,T9)),T9)</calculatedColumnFormula>
    </tableColumn>
    <tableColumn id="8" xr3:uid="{A55CD7D9-B60A-40D9-9273-FE25DE8B8E01}" name="ISS" dataDxfId="99" dataCellStyle="Porcentagem"/>
  </tableColumns>
  <tableStyleInfo name="DLC_TABLE_STYLE_1 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4BEB1B23-426F-4B29-8BB7-9087AE943A2C}" name="T_A4Suporte" displayName="T_A4Suporte" ref="Q7:V13" headerRowDxfId="98" dataDxfId="97" totalsRowDxfId="96" dataCellStyle="Porcentagem" totalsRowCellStyle="Porcentagem">
  <autoFilter ref="Q7:V13" xr:uid="{4E029D32-639E-4342-948A-59F23835DB1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4" xr3:uid="{DED98FC1-61DC-4DE0-9A3D-20F1B5C8201F}" name="IRPJ" totalsRowFunction="custom" dataDxfId="95" dataCellStyle="Porcentagem">
      <totalsRowFormula>Q9-Q8</totalsRowFormula>
    </tableColumn>
    <tableColumn id="5" xr3:uid="{B0D470AB-1615-4F19-A22F-F5D48C9965CC}" name="CSLL" totalsRowFunction="custom" dataDxfId="94" dataCellStyle="Porcentagem">
      <totalsRowFormula>R9-R8</totalsRowFormula>
    </tableColumn>
    <tableColumn id="6" xr3:uid="{558EDDFE-C98B-4336-A1DB-AD2D72E08642}" name="COFINS" totalsRowFunction="custom" dataDxfId="93" dataCellStyle="Porcentagem">
      <totalsRowFormula>S9-S8</totalsRowFormula>
    </tableColumn>
    <tableColumn id="7" xr3:uid="{EDC0A6B9-EDB5-4807-B992-663F1B737557}" name="PIS/PASEP" totalsRowFunction="custom" dataDxfId="92" dataCellStyle="Porcentagem">
      <totalsRowFormula>T9-T8</totalsRowFormula>
    </tableColumn>
    <tableColumn id="9" xr3:uid="{8FC18B7E-2365-4FCE-AD0E-1B531C042522}" name="ISS" totalsRowFunction="custom" dataDxfId="91" dataCellStyle="Porcentagem">
      <totalsRowFormula>U9-U8</totalsRowFormula>
    </tableColumn>
    <tableColumn id="10" xr3:uid="{DDAE8D0A-60C4-4507-B2AA-F62DA03DB79E}" name="TOTAL" totalsRowFunction="custom" dataDxfId="90" dataCellStyle="Porcentagem">
      <calculatedColumnFormula>SUM(T_A4Suporte[[#This Row],[IRPJ]:[ISS]])</calculatedColumnFormula>
      <totalsRowFormula>V9-#REF!</totalsRowFormula>
    </tableColumn>
  </tableColumns>
  <tableStyleInfo name="DLC_TABLE_STYLE_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58A84437-B721-4268-BB07-BDD281EF6ECE}" name="T_LimiteA4" displayName="T_LimiteA4" ref="Q17:Q18" totalsRowShown="0" headerRowDxfId="89" dataDxfId="88">
  <autoFilter ref="Q17:Q18" xr:uid="{B8BC5615-F921-4D17-92B3-43C7A49565FD}">
    <filterColumn colId="0" hiddenButton="1"/>
  </autoFilter>
  <tableColumns count="1">
    <tableColumn id="1" xr3:uid="{69AA79D7-071F-4084-88CF-5B003E9E8A93}" name="LIMITE ISS" dataDxfId="87"/>
  </tableColumns>
  <tableStyleInfo name="DLC_TABLE_STYLE_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86F740F3-B7EE-4B88-BB1D-B77AA598CD2E}" name="T_ErroA4" displayName="T_ErroA4" ref="AA7:AB11" totalsRowShown="0" headerRowDxfId="86" dataDxfId="85">
  <autoFilter ref="AA7:AB11" xr:uid="{A69CA312-B528-4EC3-802A-EDC8CB08EA33}"/>
  <tableColumns count="2">
    <tableColumn id="1" xr3:uid="{1B7C42A6-3CEA-4E8A-9F74-897F85498523}" name="AVISO" dataDxfId="84">
      <calculatedColumnFormula>AND($H$8&gt;T_LimiteA4[LIMITE ISS],SUPORTE!$Q$6=5)</calculatedColumnFormula>
    </tableColumn>
    <tableColumn id="2" xr3:uid="{C2099F0E-DA36-4779-95A5-3036D28C4BD7}" name="DESCRIÇÃO" dataDxfId="83"/>
  </tableColumns>
  <tableStyleInfo name="DLC_TABLE_STYLE_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808429BC-457C-4B50-BB03-2E9109C1E844}" name="T_AliquotaA4" displayName="T_AliquotaA4" ref="X7:X8" totalsRowShown="0" headerRowDxfId="82" dataDxfId="81" tableBorderDxfId="80" dataCellStyle="Porcentagem">
  <autoFilter ref="X7:X8" xr:uid="{BD022B54-BAE6-4703-B453-E0C8587525CD}"/>
  <tableColumns count="1">
    <tableColumn id="1" xr3:uid="{4348026C-FF79-4B88-8D00-281CF87411C1}" name="ALÍQUOTA NOMINAL" dataDxfId="79" dataCellStyle="Porcentagem">
      <calculatedColumnFormula>IFERROR(($C$8*VLOOKUP(SUPORTE!$Q$6,T_TaxaA4[],MATCH(X7,T_TaxaA4[#Headers],0),0)-VLOOKUP(SUPORTE!$Q$6,T_TaxaA4[],MATCH("VALOR A DEDUZIR (R$)",T_TaxaA4[#Headers],0),0))/$C$8,0)</calculatedColumnFormula>
    </tableColumn>
  </tableColumns>
  <tableStyleInfo name="DLC_TABLE_STYLE_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5B1599B-F27B-437F-889A-282C2D7EAE60}" name="T_FaixaA5" displayName="T_FaixaA5" ref="B11:D17" totalsRowShown="0" headerRowDxfId="71" dataDxfId="70">
  <autoFilter ref="B11:D17" xr:uid="{75880A1A-D224-47B6-84DC-FBBBC433FCEC}">
    <filterColumn colId="0" hiddenButton="1"/>
    <filterColumn colId="1" hiddenButton="1"/>
    <filterColumn colId="2" hiddenButton="1"/>
  </autoFilter>
  <tableColumns count="3">
    <tableColumn id="1" xr3:uid="{068099BD-A774-46E9-BE16-D7FE4D353914}" name="FAIXA" dataDxfId="69"/>
    <tableColumn id="2" xr3:uid="{2166AEC6-D028-40AB-BC94-331C35AB8A14}" name="DE" dataDxfId="68"/>
    <tableColumn id="3" xr3:uid="{B8612DF9-18BC-4C58-9504-AD2FC6A6BD05}" name="ATÉ" dataDxfId="67"/>
  </tableColumns>
  <tableStyleInfo name="DLC_TABLE_STYLE_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9A4B4AA5-2D22-4DA5-B0BE-7CD28465AA1A}" name="T_TaxaA5" displayName="T_TaxaA5" ref="F11:N17" totalsRowShown="0" headerRowDxfId="66" dataDxfId="65">
  <autoFilter ref="F11:N17" xr:uid="{EB723375-2251-46DE-BF8A-C42DD645FB3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C456A788-EAC4-41E5-ACA1-6EBFF8674AC2}" name="FAIXA" dataDxfId="64"/>
    <tableColumn id="5" xr3:uid="{13EBCBDA-39D4-4FA7-B97B-70496D9DB1AD}" name="VALOR A DEDUZIR (R$)" dataDxfId="63" dataCellStyle="Vírgula"/>
    <tableColumn id="4" xr3:uid="{2221CDB7-8A37-449C-AA9A-B357CBBB4BD7}" name="ALÍQUOTA NOMINAL" dataDxfId="62"/>
    <tableColumn id="6" xr3:uid="{773247BF-D87F-4C9D-A22C-D3DB20C6E31D}" name="IRPJ" dataDxfId="61"/>
    <tableColumn id="7" xr3:uid="{C26CEB96-17CF-4E58-ADA0-E33272F683DF}" name="CSLL" dataDxfId="60"/>
    <tableColumn id="8" xr3:uid="{D7094F04-EC60-4C0E-884C-69EFBB70C074}" name="COFINS" dataDxfId="59"/>
    <tableColumn id="9" xr3:uid="{FA528263-4347-489D-A090-CEC7265F7CC9}" name="PIS/PASEP" dataDxfId="58"/>
    <tableColumn id="10" xr3:uid="{5C1147B6-A69C-4730-A01F-C1D3A93EED51}" name="INSS/CPP" dataDxfId="57"/>
    <tableColumn id="11" xr3:uid="{CC09A763-3EFA-42A8-9620-59E267E886BC}" name="ISS" dataDxfId="56"/>
  </tableColumns>
  <tableStyleInfo name="DLC_TABLE_STYLE_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EE581AE8-A6AB-472A-AD28-4150EDD99DAC}" name="T_TaxaA1" displayName="T_TaxaA1" ref="F11:N17" totalsRowShown="0" headerRowDxfId="285" dataDxfId="284">
  <autoFilter ref="F11:N17" xr:uid="{EB723375-2251-46DE-BF8A-C42DD645FB3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B335739E-DAD1-475D-836C-6308293EAF27}" name="FAIXA" dataDxfId="283"/>
    <tableColumn id="5" xr3:uid="{4A24E1AF-CA0B-458E-9F76-C1BB149D6F70}" name="VALOR A DEDUZIR (R$)" dataDxfId="282" dataCellStyle="Vírgula"/>
    <tableColumn id="4" xr3:uid="{A3413262-7609-4014-8151-34D10DD5E932}" name="ALÍQUOTA NOMINAL" dataDxfId="281"/>
    <tableColumn id="6" xr3:uid="{58231A89-2634-449F-895F-3E705643D8F7}" name="IRPJ" dataDxfId="280"/>
    <tableColumn id="7" xr3:uid="{6B391D31-BFFA-4279-98BB-FDC1C5DC776E}" name="CSLL" dataDxfId="279"/>
    <tableColumn id="8" xr3:uid="{7C25905C-2FE4-4C46-906F-07CA4DAC80DB}" name="COFINS" dataDxfId="278"/>
    <tableColumn id="9" xr3:uid="{9A928FB4-ECC4-46C0-9076-7467CAFFA4E0}" name="PIS/PASEP" dataDxfId="277"/>
    <tableColumn id="10" xr3:uid="{CD3AF879-DF74-4ED1-9609-F727A9F22E2D}" name="INSS/CPP" dataDxfId="276"/>
    <tableColumn id="11" xr3:uid="{513B3DCB-0FF7-4A82-A91B-BDA2F2A3FD38}" name="ICMS" dataDxfId="275"/>
  </tableColumns>
  <tableStyleInfo name="DLC_TABLE_STYLE_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5B787817-38D0-4502-9F29-F7CAF11AFDE4}" name="T_A5" displayName="T_A5" ref="F7:N9" totalsRowShown="0" headerRowDxfId="55" dataDxfId="54">
  <autoFilter ref="F7:N9" xr:uid="{3A6F7822-87BD-4EC0-9AB1-0D481774C7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B392ABAC-5888-41EB-A343-2393F66921DD}" name="FAIXA" dataDxfId="53">
      <calculatedColumnFormula>SUPORTE!$Q$6</calculatedColumnFormula>
    </tableColumn>
    <tableColumn id="3" xr3:uid="{CB44DFB3-64FE-4E09-B152-A1A291AEF769}" name="FATURAMENTO NO MÊS DE REFERÊNCIA" dataDxfId="52">
      <calculatedColumnFormula>IFERROR(SUMIFS('Anexo V - Serviços'!$C$21:$C$92,'Anexo V - Serviços'!$B$21:$B$92,IF(MATCH(T_DtRef[DATA REFERENCIA],'Anexo V - Serviços'!$B$21:$B$92,0)=1,"=","&lt;")&amp;T_DtRef[DATA REFERENCIA],'Anexo V - Serviços'!$B$21:$B$92,"&gt;="&amp;IF(MATCH(T_DtRef[DATA REFERENCIA],'Anexo V - Serviços'!$B$21:$B$92,0)&lt;12,T_DtIni[DATA INICIAL],EDATE(T_DtRef[DATA REFERENCIA],-12)))/(IF(MATCH(T_DtRef[DATA REFERENCIA],'Anexo V - Serviços'!$B$21:$B$92,0)&gt;12,12,MATCH(T_DtRef[DATA REFERENCIA],'Anexo V - Serviços'!$B$21:$B$92,0)-1))*12,0)</calculatedColumnFormula>
    </tableColumn>
    <tableColumn id="2" xr3:uid="{91E7DFA9-7C30-498D-B307-E7631F2E2E3D}" name="ALÍQUOTA EFETIVA" dataDxfId="51" dataCellStyle="Porcentagem">
      <calculatedColumnFormula>ROUND(($C$8*VLOOKUP(SUPORTE!$Q$6,T_TaxaA5[],MATCH(H7,T_TaxaA5[#Headers],0),0)-VLOOKUP(SUPORTE!$Q$6,T_TaxaA5[],MATCH("VALOR A DEDUZIR (R$)",T_TaxaA5[#Headers],0),0))/$C$8,4)</calculatedColumnFormula>
    </tableColumn>
    <tableColumn id="4" xr3:uid="{9AE7E6FC-F438-4CEF-88DD-7E2BD09A4191}" name="IRPJ" dataDxfId="50" dataCellStyle="Porcentagem">
      <calculatedColumnFormula>IF(MAX($Q$9:$V$9)=Q9,Q9+(($W$9-$H$8)/COUNTIF($Q$9:$V$9,Q9)),Q9)</calculatedColumnFormula>
    </tableColumn>
    <tableColumn id="5" xr3:uid="{EE22A169-AEBF-41F2-89E7-08B7F7B2FF05}" name="CSLL" dataDxfId="49" dataCellStyle="Porcentagem">
      <calculatedColumnFormula>IF(MAX($Q$9:$V$9)=R9,R9+(($W$9-$H$8)/COUNTIF($Q$9:$V$9,R9)),R9)</calculatedColumnFormula>
    </tableColumn>
    <tableColumn id="6" xr3:uid="{67021B36-1C25-444B-A36B-801E4BFEA6A5}" name="COFINS" dataDxfId="48" dataCellStyle="Porcentagem">
      <calculatedColumnFormula>IF(MAX($Q$9:$V$9)=S9,S9+(($W$9-$H$8)/COUNTIF($Q$9:$V$9,S9)),S9)</calculatedColumnFormula>
    </tableColumn>
    <tableColumn id="7" xr3:uid="{DCA97F6C-CF6D-4E68-B5DC-70D06FEA1981}" name="PIS/PASEP" dataDxfId="47" dataCellStyle="Porcentagem">
      <calculatedColumnFormula>IF(MAX($Q$9:$V$9)=T9,T9+(($W$9-$H$8)/COUNTIF($Q$9:$V$9,T9)),T9)</calculatedColumnFormula>
    </tableColumn>
    <tableColumn id="8" xr3:uid="{23923D54-68EE-48CB-9C04-A1BE0B56B092}" name="INSS/CPP" dataDxfId="46" dataCellStyle="Porcentagem">
      <calculatedColumnFormula>IF(MAX($Q$9:$V$9)=U9,U9+(($W$9-$H$8)/COUNTIF($Q$9:$V$9,U9)),U9)</calculatedColumnFormula>
    </tableColumn>
    <tableColumn id="9" xr3:uid="{EEBFE8C5-B550-4B71-9FA3-9AF37A0BB155}" name="ISS" dataDxfId="45" dataCellStyle="Porcentagem">
      <calculatedColumnFormula>IF(MAX($Q$9:$V$9)=V9,V9+(($W$9-$H$8)/COUNTIF($Q$9:$V$9,V9)),V9)</calculatedColumnFormula>
    </tableColumn>
  </tableColumns>
  <tableStyleInfo name="DLC_TABLE_STYLE_1 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ED1FDE7-EA7B-4EEA-844C-FF7B541DE15C}" name="T_A5Suporte" displayName="T_A5Suporte" ref="Q7:W13" headerRowDxfId="44" dataDxfId="43" totalsRowDxfId="42" dataCellStyle="Porcentagem" totalsRowCellStyle="Porcentagem">
  <autoFilter ref="Q7:W13" xr:uid="{4E029D32-639E-4342-948A-59F23835DB1C}"/>
  <tableColumns count="7">
    <tableColumn id="4" xr3:uid="{4C96DB1B-457D-4589-BA9B-9A33547B230C}" name="IRPJ" totalsRowFunction="custom" dataDxfId="41" dataCellStyle="Porcentagem">
      <totalsRowFormula>Q9-Q8</totalsRowFormula>
    </tableColumn>
    <tableColumn id="5" xr3:uid="{D66DFBB3-A9DC-4F72-8147-565D2DE020B7}" name="CSLL" totalsRowFunction="custom" dataDxfId="40" dataCellStyle="Porcentagem">
      <totalsRowFormula>R9-R8</totalsRowFormula>
    </tableColumn>
    <tableColumn id="6" xr3:uid="{0C94CD71-15B6-4774-9808-A15315366D59}" name="COFINS" totalsRowFunction="custom" dataDxfId="39" dataCellStyle="Porcentagem">
      <totalsRowFormula>S9-S8</totalsRowFormula>
    </tableColumn>
    <tableColumn id="7" xr3:uid="{CDA7F1B3-F97E-43CB-BECF-C5BA419BB7F9}" name="PIS/PASEP" totalsRowFunction="custom" dataDxfId="38" dataCellStyle="Porcentagem">
      <totalsRowFormula>T9-T8</totalsRowFormula>
    </tableColumn>
    <tableColumn id="8" xr3:uid="{E3E6D36F-D1F8-4106-939B-482F466E2BA1}" name="INSS/CPP" totalsRowFunction="custom" dataDxfId="37" dataCellStyle="Porcentagem">
      <totalsRowFormula>U9-U8</totalsRowFormula>
    </tableColumn>
    <tableColumn id="9" xr3:uid="{B0D0574F-8FC3-42F1-8D71-FC2D208CFF9A}" name="ISS" totalsRowFunction="custom" dataDxfId="36" dataCellStyle="Porcentagem">
      <totalsRowFormula>V9-V8</totalsRowFormula>
    </tableColumn>
    <tableColumn id="10" xr3:uid="{1FA409F2-665B-41E9-9A52-26FAC71738F8}" name="TOTAL" totalsRowFunction="custom" dataDxfId="35" dataCellStyle="Porcentagem">
      <calculatedColumnFormula>SUM(T_A5Suporte[[#This Row],[IRPJ]:[ISS]])</calculatedColumnFormula>
      <totalsRowFormula>W9-#REF!</totalsRowFormula>
    </tableColumn>
  </tableColumns>
  <tableStyleInfo name="DLC_TABLE_STYLE_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634E92E4-2E26-4751-B9CD-CFFA31D97338}" name="T_ErroA5" displayName="T_ErroA5" ref="AA7:AB12" headerRowDxfId="34" dataDxfId="33">
  <autoFilter ref="AA7:AB12" xr:uid="{B16DF392-09B6-4032-8AB8-484858B5B6DB}"/>
  <tableColumns count="2">
    <tableColumn id="1" xr3:uid="{3854FF13-D138-4F33-8F16-70165D2A3D25}" name="AVISO" dataDxfId="32" totalsRowDxfId="31">
      <calculatedColumnFormula>SUM('Fator R'!$D$13:$D$84)&lt;0</calculatedColumnFormula>
    </tableColumn>
    <tableColumn id="2" xr3:uid="{E153982C-CE3D-421A-A7D1-DCEAB157B0FD}" name="DESCRIÇÃO" dataDxfId="30" totalsRowDxfId="29"/>
  </tableColumns>
  <tableStyleInfo name="DLC_TABLE_STYLE_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7FEE4726-6376-474C-9507-4C311AFD9445}" name="T_AliquotaA5" displayName="T_AliquotaA5" ref="Y7:Y8" totalsRowShown="0" headerRowDxfId="28" dataDxfId="27" tableBorderDxfId="26" dataCellStyle="Porcentagem">
  <autoFilter ref="Y7:Y8" xr:uid="{DDA25962-A62B-4070-AAF0-CD885769FDCA}"/>
  <tableColumns count="1">
    <tableColumn id="1" xr3:uid="{B98E8268-3C60-4924-BD6D-2382DEC13EBF}" name="ALÍQUOTA NOMINAL" dataDxfId="25" dataCellStyle="Porcentagem">
      <calculatedColumnFormula>IFERROR(($C$8*VLOOKUP(SUPORTE!$Q$6,T_TaxaA5[],MATCH(Y7,T_TaxaA5[#Headers],0),0)-VLOOKUP(SUPORTE!$Q$6,T_TaxaA5[],MATCH("VALOR A DEDUZIR (R$)",T_TaxaA5[#Headers],0),0))/$C$8,0)</calculatedColumnFormula>
    </tableColumn>
  </tableColumns>
  <tableStyleInfo name="DLC_TABLE_STYLE_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79401A-35B2-4D6A-80AD-5921BC1614EB}" name="T_DtIni" displayName="T_DtIni" ref="B3:B4" totalsRowShown="0" headerRowDxfId="23" dataDxfId="22">
  <autoFilter ref="B3:B4" xr:uid="{7B07C6A3-B024-43C5-941A-C34DF72F8232}">
    <filterColumn colId="0" hiddenButton="1"/>
  </autoFilter>
  <tableColumns count="1">
    <tableColumn id="1" xr3:uid="{C9AC3BFF-5984-46B4-B557-58D119AF00E8}" name="DATA INICIAL" dataDxfId="21">
      <calculatedColumnFormula>DATE(INDEX(T_Anos[ANOS],T_AnoIni[ANO INICIAL ESCOLHIDO]),T_MesIni[MÊS INICIAL ESCOLHIDO],1)</calculatedColumnFormula>
    </tableColumn>
  </tableColumns>
  <tableStyleInfo name="DLC_TABLE_STYLE_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3CA3E3-CB3F-4D6C-9CB8-007B76DA444C}" name="T_DtRef" displayName="T_DtRef" ref="B7:B8" totalsRowShown="0" headerRowDxfId="20" dataDxfId="19">
  <autoFilter ref="B7:B8" xr:uid="{B078A105-7639-43BD-B7A7-057A0B96E64C}">
    <filterColumn colId="0" hiddenButton="1"/>
  </autoFilter>
  <tableColumns count="1">
    <tableColumn id="1" xr3:uid="{6CAFAA24-7FBB-4A00-89F2-C91B42F7A46A}" name="DATA REFERENCIA" dataDxfId="18">
      <calculatedColumnFormula>INDEX('Fator R'!$B$13:$B$84,T_Escolha[DATA ESCOLHIDA])</calculatedColumnFormula>
    </tableColumn>
  </tableColumns>
  <tableStyleInfo name="DLC_TABLE_STYLE_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584623F-21D2-4FA8-9BAB-07812B84157B}" name="T_Escolha" displayName="T_Escolha" ref="B10:B11" totalsRowShown="0" headerRowDxfId="17" dataDxfId="16">
  <autoFilter ref="B10:B11" xr:uid="{3D1F6C66-5E6C-4CEB-AC60-B954AD4AC43C}">
    <filterColumn colId="0" hiddenButton="1"/>
  </autoFilter>
  <tableColumns count="1">
    <tableColumn id="1" xr3:uid="{57E47D73-B32B-4AD4-B872-828269911724}" name="DATA ESCOLHIDA" dataDxfId="15"/>
  </tableColumns>
  <tableStyleInfo name="DLC_TABLE_STYLE_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EFF1F81-FA96-48B9-991A-0935DDE7A353}" name="T_QtdeMeses" displayName="T_QtdeMeses" ref="B13:B14" totalsRowShown="0" headerRowDxfId="14" dataDxfId="13">
  <autoFilter ref="B13:B14" xr:uid="{DE7AA3C7-C02C-49E6-B68D-302D7AFC7E38}">
    <filterColumn colId="0" hiddenButton="1"/>
  </autoFilter>
  <tableColumns count="1">
    <tableColumn id="1" xr3:uid="{B1CCD82B-BF6E-4440-B3D1-70ACFC30997F}" name="MESES" dataDxfId="12">
      <calculatedColumnFormula>IF(MATCH(Q$2,'Fator R'!$B$13:$B$84,0)&gt;12,12,MATCH(Q$2,'Fator R'!$B$13:$B$84,0))</calculatedColumnFormula>
    </tableColumn>
  </tableColumns>
  <tableStyleInfo name="DLC_TABLE_STYLE_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3E92ADF-110D-4EDA-8E1B-76C738CD8F03}" name="T_SubTotal" displayName="T_SubTotal" ref="B16:B17" totalsRowShown="0" headerRowDxfId="11" dataDxfId="10">
  <autoFilter ref="B16:B17" xr:uid="{83E4F3C6-D494-45D6-861C-D94FA278BF72}"/>
  <tableColumns count="1">
    <tableColumn id="1" xr3:uid="{5BD652A3-8CC1-4D10-B6CD-3959A77F0C23}" name="SUBTOTAL ESCOLHIDO" dataDxfId="9">
      <calculatedColumnFormula>IF((YEAR(T_DtRef[DATA REFERENCIA])-YEAR(T_DtIni[DATA INICIAL]))*12 +MONTH(T_DtRef[DATA REFERENCIA])-MONTH(T_DtIni[DATA INICIAL])&gt;12,12,(YEAR(T_DtRef[DATA REFERENCIA])-YEAR(T_DtIni[DATA INICIAL]))*12 +MONTH(T_DtRef[DATA REFERENCIA])-MONTH(T_DtIni[DATA INICIAL]))</calculatedColumnFormula>
    </tableColumn>
  </tableColumns>
  <tableStyleInfo name="DLC_TABLE_STYLE_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D308D47-BD8B-49C6-9CCE-BA983CB252BD}" name="T_BaseFatorR" displayName="T_BaseFatorR" ref="B19:B20" totalsRowShown="0" dataDxfId="8">
  <autoFilter ref="B19:B20" xr:uid="{F0180BF1-8899-4BE6-9E56-B5563F113CB8}"/>
  <tableColumns count="1">
    <tableColumn id="1" xr3:uid="{4DA4ECB0-CA1E-45E9-A373-D11385A84504}" name="FATOR R" dataDxfId="7"/>
  </tableColumns>
  <tableStyleInfo name="DLC_TABLE_STYLE_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FF74686-0CF1-47B2-8E7D-7E902B7EA1A8}" name="T_A1" displayName="T_A1" ref="F7:N9" totalsRowShown="0" headerRowDxfId="274" dataDxfId="273">
  <autoFilter ref="F7:N9" xr:uid="{3A6F7822-87BD-4EC0-9AB1-0D481774C7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9DB78521-A720-47E1-A06D-0315FCD297DC}" name="FAIXA" dataDxfId="272">
      <calculatedColumnFormula>SUPORTE!$Q$6</calculatedColumnFormula>
    </tableColumn>
    <tableColumn id="3" xr3:uid="{D2337E4D-7D5D-4379-9CAA-803158235078}" name="FATURAMENTO NO MÊS DE REFERÊNCIA" dataDxfId="271">
      <calculatedColumnFormula>IFERROR(SUMIFS('Anexo I - Comércio'!$C$21:$C$92,'Anexo I - Comércio'!$B$21:$B$92,IF(MATCH(T_DtRef[DATA REFERENCIA],'Anexo I - Comércio'!$B$21:$B$92,0)=1,"=","&lt;")&amp;T_DtRef[DATA REFERENCIA],'Anexo I - Comércio'!$B$21:$B$92,"&gt;="&amp;IF(MATCH(T_DtRef[DATA REFERENCIA],'Anexo I - Comércio'!$B$21:$B$92,0)&lt;12,T_DtIni[DATA INICIAL],EDATE(T_DtRef[DATA REFERENCIA],-12)))/(IF(MATCH(T_DtRef[DATA REFERENCIA],'Anexo I - Comércio'!$B$21:$B$92,0)&gt;12,12,MATCH(T_DtRef[DATA REFERENCIA],'Anexo I - Comércio'!$B$21:$B$92,0)-1))*12,0)</calculatedColumnFormula>
    </tableColumn>
    <tableColumn id="2" xr3:uid="{31729D1A-FD73-4FB9-B291-9E867ABC9046}" name="ALÍQUOTA EFETIVA" dataDxfId="270" dataCellStyle="Porcentagem">
      <calculatedColumnFormula>ROUND(($C$8*VLOOKUP(SUPORTE!$Q$6,T_TaxaA1[],MATCH(H7,T_TaxaA1[#Headers],0),0)-VLOOKUP(SUPORTE!$Q$6,T_TaxaA1[],MATCH("VALOR A DEDUZIR (R$)",T_TaxaA1[#Headers],0),0))/$C$8,4)</calculatedColumnFormula>
    </tableColumn>
    <tableColumn id="4" xr3:uid="{B69807D2-00B9-4208-8437-4D9AB9EC35FC}" name="IRPJ" dataDxfId="269" dataCellStyle="Porcentagem">
      <calculatedColumnFormula>IF(MAX($Q$9:$V$9)=Q9,Q9+(($W$9-$H$8)/COUNTIF($Q$9:$V$9,Q9)),Q9)</calculatedColumnFormula>
    </tableColumn>
    <tableColumn id="5" xr3:uid="{D40F8455-129C-4BE2-9684-3FB6A1F2B1A0}" name="CSLL" dataDxfId="268" dataCellStyle="Porcentagem">
      <calculatedColumnFormula>IF(MAX($Q$9:$V$9)=R9,R9+(($W$9-$H$8)/COUNTIF($Q$9:$V$9,R9)),R9)</calculatedColumnFormula>
    </tableColumn>
    <tableColumn id="6" xr3:uid="{C5C30C0D-CBCC-4142-9A1C-19E7F4C7CA4C}" name="COFINS" dataDxfId="267" dataCellStyle="Porcentagem">
      <calculatedColumnFormula>IF(MAX($Q$9:$V$9)=S9,S9+(($W$9-$H$8)/COUNTIF($Q$9:$V$9,S9)),S9)</calculatedColumnFormula>
    </tableColumn>
    <tableColumn id="7" xr3:uid="{56BC6009-050D-4290-8AE7-BA43D845CA65}" name="PIS/PASEP" dataDxfId="266" dataCellStyle="Porcentagem">
      <calculatedColumnFormula>IF(MAX($Q$9:$V$9)=T9,T9+(($W$9-$H$8)/COUNTIF($Q$9:$V$9,T9)),T9)</calculatedColumnFormula>
    </tableColumn>
    <tableColumn id="8" xr3:uid="{F1500593-2716-4E86-A09F-3C560E0950B8}" name="INSS/CPP" dataDxfId="265" dataCellStyle="Porcentagem">
      <calculatedColumnFormula>IF(MAX($Q$9:$V$9)=U9,U9+(($W$9-$H$8)/COUNTIF($Q$9:$V$9,U9)),U9)</calculatedColumnFormula>
    </tableColumn>
    <tableColumn id="9" xr3:uid="{4593B61C-B0AC-43FF-9B18-708C7D230EE6}" name="ICMS" dataDxfId="264" dataCellStyle="Porcentagem">
      <calculatedColumnFormula>IF(MAX($Q$9:$V$9)=V9,V9+(($W$9-$H$8)/COUNTIF($Q$9:$V$9,V9)),V9)</calculatedColumnFormula>
    </tableColumn>
  </tableColumns>
  <tableStyleInfo name="DLC_TABLE_STYLE_1 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54B8180-F931-429B-82D8-2CBBEBA76883}" name="T_Faixa" displayName="T_Faixa" ref="D14:F20" totalsRowShown="0" headerRowDxfId="6" dataDxfId="5">
  <autoFilter ref="D14:F20" xr:uid="{7792A4EB-14DB-482B-A562-BE9C20A8C8AB}"/>
  <tableColumns count="3">
    <tableColumn id="1" xr3:uid="{0F9498C1-4124-4E21-B7A0-D4F9660ABCAD}" name="FAIXA" dataDxfId="4"/>
    <tableColumn id="2" xr3:uid="{A6943E63-8A98-4C99-A832-E0D48521B9E7}" name="DE" dataDxfId="3"/>
    <tableColumn id="3" xr3:uid="{B9215E5F-56BC-4DC6-976D-695D2E1F34FC}" name="ATE" dataDxfId="2"/>
  </tableColumns>
  <tableStyleInfo name="DLC_TABLE_STYLE_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D44DDF20-7482-46E7-8925-D1CB4E5F958D}" name="T_Anos" displayName="T_Anos" ref="J14:J19" totalsRowShown="0" dataDxfId="1">
  <autoFilter ref="J14:J19" xr:uid="{5CED591A-BFB1-4B13-96B9-A2BDC0FDFACF}"/>
  <tableColumns count="1">
    <tableColumn id="1" xr3:uid="{6B1438FF-50C2-4A7C-B63D-E5073F2C0CA3}" name="ANOS" dataDxfId="0"/>
  </tableColumns>
  <tableStyleInfo name="DLC_TABLE_STYLE_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EA53843-01DE-4EF5-B553-6DFDB765BB8A}" name="T_Meses" displayName="T_Meses" ref="H14:H26" totalsRowShown="0">
  <autoFilter ref="H14:H26" xr:uid="{43A7100A-3016-42DE-9621-A6C028F74346}"/>
  <tableColumns count="1">
    <tableColumn id="1" xr3:uid="{A93CF801-0D63-42D3-894D-909221871C08}" name="MESES"/>
  </tableColumns>
  <tableStyleInfo name="DLC_TABLE_STYLE_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0605D36-BFC2-4432-A549-B1D5642CDE64}" name="T_MesIni" displayName="T_MesIni" ref="B22:B23" totalsRowShown="0">
  <autoFilter ref="B22:B23" xr:uid="{C1F23489-29BA-4A93-8246-A9ADB1D1BFCD}"/>
  <tableColumns count="1">
    <tableColumn id="1" xr3:uid="{8EE349FE-893B-4CA4-AE20-8CF4CDF282E0}" name="MÊS INICIAL ESCOLHIDO"/>
  </tableColumns>
  <tableStyleInfo name="DLC_TABLE_STYLE_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6E1214EB-6982-47C4-BAD8-D63054CE641B}" name="T_AnoIni" displayName="T_AnoIni" ref="B25:B26" totalsRowShown="0">
  <autoFilter ref="B25:B26" xr:uid="{7B696057-B156-499C-8BE7-DE7CA22F8ABD}"/>
  <tableColumns count="1">
    <tableColumn id="1" xr3:uid="{032E52EB-6395-4AB6-8EEE-24C2FAD71AAA}" name="ANO INICIAL ESCOLHIDO"/>
  </tableColumns>
  <tableStyleInfo name="DLC_TABLE_STYLE_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11E4049-1D11-4F24-BCEA-496B9CBDC5D7}" name="T_SimNao" displayName="T_SimNao" ref="L14:L16" totalsRowShown="0">
  <autoFilter ref="L14:L16" xr:uid="{28D26CB3-7B38-48B8-99BE-978510BDF627}"/>
  <tableColumns count="1">
    <tableColumn id="1" xr3:uid="{78C4DF74-B05D-4042-8739-05B0C35F2101}" name="SIMNÃO"/>
  </tableColumns>
  <tableStyleInfo name="DLC_TABLE_STYLE_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E719AEB-11A4-49F4-9F43-9151D452AEFE}" name="T_RetISS" displayName="T_RetISS" ref="B28:B29" totalsRowShown="0">
  <autoFilter ref="B28:B29" xr:uid="{E67D5FC7-4F6E-434C-8820-F441F44A2E92}"/>
  <tableColumns count="1">
    <tableColumn id="1" xr3:uid="{86720E48-B6C4-46DE-9E7E-93AD891ABE56}" name="RETENÇÃO ISS"/>
  </tableColumns>
  <tableStyleInfo name="DLC_TABLE_STYLE_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695A3CD-ACF9-4D93-BBC8-E064A175CD61}" name="T_IseICMS" displayName="T_IseICMS" ref="B31:B32" totalsRowShown="0">
  <autoFilter ref="B31:B32" xr:uid="{69D1CAA9-C962-4715-9B5F-57B0D9C9466A}"/>
  <tableColumns count="1">
    <tableColumn id="1" xr3:uid="{516E9DBD-60DB-4AFD-96E2-E99F5B495FF4}" name="ISENÇÃO ICMS"/>
  </tableColumns>
  <tableStyleInfo name="DLC_TABLE_STYLE_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5047785-0043-4BD3-AF74-F34188084902}" name="T_Sublimite" displayName="T_Sublimite" ref="B34:B35" totalsRowShown="0">
  <autoFilter ref="B34:B35" xr:uid="{40248DFE-BD17-4CDD-9C67-AC6660496AA0}"/>
  <tableColumns count="1">
    <tableColumn id="1" xr3:uid="{B2E393ED-F0B5-4D04-B3F1-650503F78DE6}" name="LIMITE 3600K">
      <calculatedColumnFormula>IFERROR(SUMIFS('Fator R'!$D$13:$D$84,'Fator R'!$B$13:$B$84,"&lt;="&amp;T_DtRef[DATA REFERENCIA],'Fator R'!$B$13:$B$84,"&gt;="&amp;DATE(YEAR(T_DtRef[DATA REFERENCIA]),1,1)),0)&gt;3600000</calculatedColumnFormula>
    </tableColumn>
  </tableColumns>
  <tableStyleInfo name="DLC_TABLE_STYLE_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DBAD388-38C8-402D-B470-165237D8C080}" name="T_A1Suporte" displayName="T_A1Suporte" ref="Q7:W10" headerRowDxfId="263" dataDxfId="262" totalsRowDxfId="261" dataCellStyle="Porcentagem" totalsRowCellStyle="Porcentagem">
  <autoFilter ref="Q7:W10" xr:uid="{4E029D32-639E-4342-948A-59F23835DB1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4" xr3:uid="{3CA92AD1-599D-439D-96A9-B4C3E27C7354}" name="IRPJ" totalsRowFunction="custom" dataDxfId="260" dataCellStyle="Porcentagem">
      <totalsRowFormula>Q9-Q8</totalsRowFormula>
    </tableColumn>
    <tableColumn id="5" xr3:uid="{16204371-EED5-484B-BC1C-1546E975BC5A}" name="CSLL" totalsRowFunction="custom" dataDxfId="259" dataCellStyle="Porcentagem">
      <totalsRowFormula>R9-R8</totalsRowFormula>
    </tableColumn>
    <tableColumn id="6" xr3:uid="{8ED8FE31-66A5-47DE-AF97-0E6400BAD8E9}" name="COFINS" totalsRowFunction="custom" dataDxfId="258" dataCellStyle="Porcentagem">
      <totalsRowFormula>S9-S8</totalsRowFormula>
    </tableColumn>
    <tableColumn id="7" xr3:uid="{117B851A-9EBA-4595-B0F4-F787537D0D2C}" name="PIS/PASEP" totalsRowFunction="custom" dataDxfId="257" dataCellStyle="Porcentagem">
      <totalsRowFormula>T9-T8</totalsRowFormula>
    </tableColumn>
    <tableColumn id="8" xr3:uid="{CD2360FE-203C-47FB-A01A-BAACDE633BE7}" name="INSS/CPP" totalsRowFunction="custom" dataDxfId="256" dataCellStyle="Porcentagem">
      <totalsRowFormula>U9-U8</totalsRowFormula>
    </tableColumn>
    <tableColumn id="9" xr3:uid="{C0233C47-B610-46BF-953B-FFBC9DAB167F}" name="ICMS" totalsRowFunction="custom" dataDxfId="255" dataCellStyle="Porcentagem">
      <totalsRowFormula>V9-V8</totalsRowFormula>
    </tableColumn>
    <tableColumn id="10" xr3:uid="{43EB2F59-151D-4374-8917-9D50E35D67F2}" name="TOTAL" totalsRowFunction="custom" dataDxfId="254" dataCellStyle="Porcentagem">
      <calculatedColumnFormula>SUM(T_A1Suporte[[#This Row],[IRPJ]:[ICMS]])</calculatedColumnFormula>
      <totalsRowFormula>W9-#REF!</totalsRowFormula>
    </tableColumn>
  </tableColumns>
  <tableStyleInfo name="DLC_TABLE_STYLE_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6D395F9-9A89-4BA7-BC44-0C17AF187CF8}" name="T_ErroA1" displayName="T_ErroA1" ref="AA7:AB10" totalsRowShown="0" headerRowDxfId="253" dataDxfId="252">
  <autoFilter ref="AA7:AB10" xr:uid="{E41086DE-ECB8-4DC6-8D99-86A8C6D671CF}"/>
  <tableColumns count="2">
    <tableColumn id="1" xr3:uid="{8B4AE480-69C5-47B4-B696-98B5490061B1}" name="AVISO" dataDxfId="251">
      <calculatedColumnFormula>T_IseICMS[ISENÇÃO ICMS]=1</calculatedColumnFormula>
    </tableColumn>
    <tableColumn id="2" xr3:uid="{7E6281CD-0471-41CE-9CA6-87F271FA1C25}" name="DESCRIÇÃO" dataDxfId="250"/>
  </tableColumns>
  <tableStyleInfo name="DLC_TABLE_STYLE_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3F3A171-E4DA-43BE-B05B-F277FFC65346}" name="T_AliquotaA1" displayName="T_AliquotaA1" ref="Q13:Q14" totalsRowShown="0" headerRowDxfId="249" dataDxfId="248" tableBorderDxfId="247" dataCellStyle="Porcentagem">
  <autoFilter ref="Q13:Q14" xr:uid="{EDED7EF9-82F0-4A07-A2A7-4BDCCD5C902D}">
    <filterColumn colId="0" hiddenButton="1"/>
  </autoFilter>
  <tableColumns count="1">
    <tableColumn id="1" xr3:uid="{295B4EFC-119C-41D9-9461-46E502867954}" name="ALÍQUOTA NOMINAL" dataDxfId="246" dataCellStyle="Porcentagem">
      <calculatedColumnFormula>IFERROR(($C$8*VLOOKUP(SUPORTE!$Q$6,T_TaxaA1[],MATCH(Q13,T_TaxaA1[#Headers],0),0)-VLOOKUP(SUPORTE!$Q$6,T_TaxaA1[],MATCH("VALOR A DEDUZIR (R$)",T_TaxaA1[#Headers],0),0))/$C$8,0)</calculatedColumnFormula>
    </tableColumn>
  </tableColumns>
  <tableStyleInfo name="DLC_TABLE_STYLE_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BB060B-59C0-4736-9DA2-E5D3894614A4}" name="T_FaixaA2" displayName="T_FaixaA2" ref="B11:D17" totalsRowShown="0" headerRowDxfId="238" dataDxfId="237">
  <autoFilter ref="B11:D17" xr:uid="{75880A1A-D224-47B6-84DC-FBBBC433FCEC}">
    <filterColumn colId="0" hiddenButton="1"/>
    <filterColumn colId="1" hiddenButton="1"/>
    <filterColumn colId="2" hiddenButton="1"/>
  </autoFilter>
  <tableColumns count="3">
    <tableColumn id="1" xr3:uid="{B2C3C418-0A3A-4121-BA04-9F8AEC132775}" name="FAIXA" dataDxfId="236"/>
    <tableColumn id="2" xr3:uid="{A4A056B3-BA3E-426C-8DF0-B283C67E7E91}" name="DE" dataDxfId="235"/>
    <tableColumn id="3" xr3:uid="{B9B1E3E4-D651-4B2C-9703-83383F073F63}" name="ATÉ" dataDxfId="234"/>
  </tableColumns>
  <tableStyleInfo name="DLC_TABLE_STYLE_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5EC7504-F352-4C1C-92DD-E45F88495A9D}" name="T_TaxaA2" displayName="T_TaxaA2" ref="F11:O17" totalsRowShown="0" headerRowDxfId="233" dataDxfId="232">
  <autoFilter ref="F11:O17" xr:uid="{EB723375-2251-46DE-BF8A-C42DD645FB3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4CAC7907-9EE6-4C93-8BE1-61261EB6AA85}" name="FAIXA" dataDxfId="231"/>
    <tableColumn id="5" xr3:uid="{1543F25F-CA71-41F9-9F4F-1EDFF4F06379}" name="VALOR A DEDUZIR (R$)" dataDxfId="230" dataCellStyle="Vírgula"/>
    <tableColumn id="4" xr3:uid="{7CCFD340-7DB7-410E-8561-66897AB1CB26}" name="ALÍQUOTA NOMINAL" dataDxfId="229"/>
    <tableColumn id="6" xr3:uid="{1C68F0A0-FB0A-4D0C-B4FB-3DA010E7BDF5}" name="IRPJ" dataDxfId="228"/>
    <tableColumn id="7" xr3:uid="{D5DFCCD5-A688-490B-8BC5-1DEF60E2CC0C}" name="CSLL" dataDxfId="227"/>
    <tableColumn id="8" xr3:uid="{7593EDE4-2BD8-4F5C-B803-D999F8D44529}" name="COFINS" dataDxfId="226"/>
    <tableColumn id="9" xr3:uid="{C611E617-5C9A-436D-B805-28096191DD1C}" name="PIS/PASEP" dataDxfId="225"/>
    <tableColumn id="10" xr3:uid="{2BBBDBA8-AC18-48CD-A1C8-68C69901A661}" name="INSS/CPP" dataDxfId="224"/>
    <tableColumn id="11" xr3:uid="{D90DBC0E-9A99-4C32-AC59-5797BD278BEB}" name="IPI" dataDxfId="223"/>
    <tableColumn id="2" xr3:uid="{5BF2E7CA-EF88-4EEA-8403-C0CFB514D15A}" name="ICMS" dataDxfId="222" dataCellStyle="Porcentagem"/>
  </tableColumns>
  <tableStyleInfo name="DLC_TABLE_STYLE_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vmlDrawing" Target="../drawings/vmlDrawing3.vml"/><Relationship Id="rId7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ctrlProp" Target="../ctrlProps/ctrlProp8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7.xml"/><Relationship Id="rId9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3" Type="http://schemas.openxmlformats.org/officeDocument/2006/relationships/vmlDrawing" Target="../drawings/vmlDrawing4.vml"/><Relationship Id="rId7" Type="http://schemas.openxmlformats.org/officeDocument/2006/relationships/table" Target="../tables/table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8.xml"/><Relationship Id="rId11" Type="http://schemas.openxmlformats.org/officeDocument/2006/relationships/table" Target="../tables/table13.xml"/><Relationship Id="rId5" Type="http://schemas.openxmlformats.org/officeDocument/2006/relationships/ctrlProp" Target="../ctrlProps/ctrlProp10.xml"/><Relationship Id="rId10" Type="http://schemas.openxmlformats.org/officeDocument/2006/relationships/table" Target="../tables/table12.xml"/><Relationship Id="rId4" Type="http://schemas.openxmlformats.org/officeDocument/2006/relationships/ctrlProp" Target="../ctrlProps/ctrlProp9.xml"/><Relationship Id="rId9" Type="http://schemas.openxmlformats.org/officeDocument/2006/relationships/table" Target="../tables/table1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3" Type="http://schemas.openxmlformats.org/officeDocument/2006/relationships/vmlDrawing" Target="../drawings/vmlDrawing5.vml"/><Relationship Id="rId7" Type="http://schemas.openxmlformats.org/officeDocument/2006/relationships/table" Target="../tables/table15.xml"/><Relationship Id="rId12" Type="http://schemas.openxmlformats.org/officeDocument/2006/relationships/table" Target="../tables/table2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14.xml"/><Relationship Id="rId11" Type="http://schemas.openxmlformats.org/officeDocument/2006/relationships/table" Target="../tables/table19.xml"/><Relationship Id="rId5" Type="http://schemas.openxmlformats.org/officeDocument/2006/relationships/ctrlProp" Target="../ctrlProps/ctrlProp12.xml"/><Relationship Id="rId10" Type="http://schemas.openxmlformats.org/officeDocument/2006/relationships/table" Target="../tables/table18.xml"/><Relationship Id="rId4" Type="http://schemas.openxmlformats.org/officeDocument/2006/relationships/ctrlProp" Target="../ctrlProps/ctrlProp11.xml"/><Relationship Id="rId9" Type="http://schemas.openxmlformats.org/officeDocument/2006/relationships/table" Target="../tables/table17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3.xml"/><Relationship Id="rId3" Type="http://schemas.openxmlformats.org/officeDocument/2006/relationships/vmlDrawing" Target="../drawings/vmlDrawing6.vml"/><Relationship Id="rId7" Type="http://schemas.openxmlformats.org/officeDocument/2006/relationships/table" Target="../tables/table22.xml"/><Relationship Id="rId12" Type="http://schemas.openxmlformats.org/officeDocument/2006/relationships/table" Target="../tables/table2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21.xml"/><Relationship Id="rId11" Type="http://schemas.openxmlformats.org/officeDocument/2006/relationships/table" Target="../tables/table26.xml"/><Relationship Id="rId5" Type="http://schemas.openxmlformats.org/officeDocument/2006/relationships/ctrlProp" Target="../ctrlProps/ctrlProp14.xml"/><Relationship Id="rId10" Type="http://schemas.openxmlformats.org/officeDocument/2006/relationships/table" Target="../tables/table25.xml"/><Relationship Id="rId4" Type="http://schemas.openxmlformats.org/officeDocument/2006/relationships/ctrlProp" Target="../ctrlProps/ctrlProp13.xml"/><Relationship Id="rId9" Type="http://schemas.openxmlformats.org/officeDocument/2006/relationships/table" Target="../tables/table24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0.xml"/><Relationship Id="rId3" Type="http://schemas.openxmlformats.org/officeDocument/2006/relationships/vmlDrawing" Target="../drawings/vmlDrawing7.vml"/><Relationship Id="rId7" Type="http://schemas.openxmlformats.org/officeDocument/2006/relationships/table" Target="../tables/table2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28.xml"/><Relationship Id="rId11" Type="http://schemas.openxmlformats.org/officeDocument/2006/relationships/table" Target="../tables/table33.xml"/><Relationship Id="rId5" Type="http://schemas.openxmlformats.org/officeDocument/2006/relationships/ctrlProp" Target="../ctrlProps/ctrlProp16.xml"/><Relationship Id="rId10" Type="http://schemas.openxmlformats.org/officeDocument/2006/relationships/table" Target="../tables/table32.xml"/><Relationship Id="rId4" Type="http://schemas.openxmlformats.org/officeDocument/2006/relationships/ctrlProp" Target="../ctrlProps/ctrlProp15.xml"/><Relationship Id="rId9" Type="http://schemas.openxmlformats.org/officeDocument/2006/relationships/table" Target="../tables/table3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3" Type="http://schemas.openxmlformats.org/officeDocument/2006/relationships/table" Target="../tables/table34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" Type="http://schemas.openxmlformats.org/officeDocument/2006/relationships/drawing" Target="../drawings/drawing9.xml"/><Relationship Id="rId16" Type="http://schemas.openxmlformats.org/officeDocument/2006/relationships/table" Target="../tables/table47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10" Type="http://schemas.openxmlformats.org/officeDocument/2006/relationships/table" Target="../tables/table41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6E3AD-98F5-4B01-A20B-62DA4E324AE2}">
  <sheetPr codeName="Planilha10">
    <tabColor rgb="FF3C88A6"/>
  </sheetPr>
  <dimension ref="B5:N5"/>
  <sheetViews>
    <sheetView showGridLines="0" showRowColHeaders="0" tabSelected="1" zoomScaleNormal="100" workbookViewId="0"/>
  </sheetViews>
  <sheetFormatPr defaultColWidth="9.109375" defaultRowHeight="14.4" x14ac:dyDescent="0.3"/>
  <cols>
    <col min="1" max="16384" width="9.109375" style="20"/>
  </cols>
  <sheetData>
    <row r="5" spans="2:14" ht="33" customHeight="1" x14ac:dyDescent="0.3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</sheetData>
  <sheetProtection algorithmName="SHA-512" hashValue="ockPELBWflZG3yzVMk8RDNfGBTe/fKuw9om2axVKntgNkb/O0GYfPITH5izBwg7c5gbc/D20hOZR8R9Ihtxhqw==" saltValue="NcLxFDToiIxhkRxY/AJUbA==" spinCount="100000" sheet="1" objects="1" scenarios="1" selectLockedCells="1" selectUnlockedCells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F495-1232-4667-8EA9-2E1BFD68409E}">
  <sheetPr codeName="Planilha1">
    <tabColor rgb="FF43525B"/>
  </sheetPr>
  <dimension ref="A1:X83"/>
  <sheetViews>
    <sheetView showGridLines="0" showRowColHeaders="0" zoomScale="85" zoomScaleNormal="85" workbookViewId="0"/>
  </sheetViews>
  <sheetFormatPr defaultColWidth="9.109375" defaultRowHeight="14.4" x14ac:dyDescent="0.3"/>
  <cols>
    <col min="1" max="1" width="5.6640625" style="27" customWidth="1"/>
    <col min="2" max="3" width="9.109375" style="27"/>
    <col min="4" max="4" width="10.6640625" style="27" bestFit="1" customWidth="1"/>
    <col min="5" max="22" width="9.109375" style="27"/>
    <col min="23" max="23" width="10.6640625" style="27" bestFit="1" customWidth="1"/>
    <col min="24" max="16384" width="9.109375" style="27"/>
  </cols>
  <sheetData>
    <row r="1" spans="2:23" s="26" customFormat="1" ht="40.5" customHeight="1" x14ac:dyDescent="0.35">
      <c r="B1" s="59"/>
      <c r="C1" s="60"/>
      <c r="N1" s="61"/>
    </row>
    <row r="2" spans="2:23" s="26" customFormat="1" ht="5.25" customHeight="1" x14ac:dyDescent="0.3">
      <c r="B2" s="37"/>
    </row>
    <row r="3" spans="2:23" s="26" customFormat="1" ht="21" customHeight="1" x14ac:dyDescent="0.3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2:23" s="26" customFormat="1" ht="7.5" customHeight="1" thickBot="1" x14ac:dyDescent="0.35">
      <c r="B4" s="37"/>
    </row>
    <row r="5" spans="2:23" s="26" customFormat="1" ht="33" customHeight="1" thickTop="1" x14ac:dyDescent="0.6">
      <c r="B5" s="60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P5" s="126" t="s">
        <v>70</v>
      </c>
      <c r="Q5" s="127"/>
      <c r="R5" s="127"/>
      <c r="S5" s="127"/>
      <c r="T5" s="127"/>
      <c r="U5" s="128"/>
    </row>
    <row r="6" spans="2:23" s="26" customFormat="1" ht="7.5" customHeight="1" x14ac:dyDescent="0.3">
      <c r="B6" s="37"/>
      <c r="P6" s="87"/>
      <c r="U6" s="88"/>
    </row>
    <row r="7" spans="2:23" x14ac:dyDescent="0.3">
      <c r="P7" s="87"/>
      <c r="Q7" s="26"/>
      <c r="R7" s="26"/>
      <c r="S7" s="26"/>
      <c r="T7" s="26"/>
      <c r="U7" s="88"/>
    </row>
    <row r="8" spans="2:23" x14ac:dyDescent="0.3">
      <c r="P8" s="87"/>
      <c r="Q8" s="26"/>
      <c r="R8" s="26"/>
      <c r="S8" s="26"/>
      <c r="T8" s="26"/>
      <c r="U8" s="88"/>
    </row>
    <row r="9" spans="2:23" x14ac:dyDescent="0.3">
      <c r="P9" s="87"/>
      <c r="Q9" s="26"/>
      <c r="R9" s="26"/>
      <c r="S9" s="26"/>
      <c r="T9" s="26"/>
      <c r="U9" s="88"/>
      <c r="W9" s="62"/>
    </row>
    <row r="10" spans="2:23" x14ac:dyDescent="0.3">
      <c r="P10" s="87"/>
      <c r="Q10" s="26"/>
      <c r="R10" s="26"/>
      <c r="S10" s="26"/>
      <c r="T10" s="26"/>
      <c r="U10" s="88"/>
    </row>
    <row r="11" spans="2:23" x14ac:dyDescent="0.3">
      <c r="P11" s="87"/>
      <c r="Q11" s="26"/>
      <c r="R11" s="26"/>
      <c r="S11" s="26"/>
      <c r="T11" s="26"/>
      <c r="U11" s="88"/>
    </row>
    <row r="12" spans="2:23" x14ac:dyDescent="0.3">
      <c r="P12" s="87"/>
      <c r="Q12" s="26"/>
      <c r="R12" s="26"/>
      <c r="S12" s="26"/>
      <c r="T12" s="26"/>
      <c r="U12" s="88"/>
    </row>
    <row r="13" spans="2:23" x14ac:dyDescent="0.3">
      <c r="P13" s="87"/>
      <c r="Q13" s="26"/>
      <c r="R13" s="26"/>
      <c r="S13" s="26"/>
      <c r="T13" s="26"/>
      <c r="U13" s="88"/>
    </row>
    <row r="14" spans="2:23" x14ac:dyDescent="0.3">
      <c r="P14" s="87"/>
      <c r="Q14" s="26"/>
      <c r="R14" s="26"/>
      <c r="S14" s="26"/>
      <c r="T14" s="26"/>
      <c r="U14" s="88"/>
    </row>
    <row r="15" spans="2:23" x14ac:dyDescent="0.3">
      <c r="P15" s="87"/>
      <c r="Q15" s="26"/>
      <c r="R15" s="26"/>
      <c r="S15" s="26"/>
      <c r="T15" s="26"/>
      <c r="U15" s="88"/>
    </row>
    <row r="16" spans="2:23" x14ac:dyDescent="0.3">
      <c r="P16" s="87"/>
      <c r="Q16" s="26"/>
      <c r="R16" s="26"/>
      <c r="S16" s="26"/>
      <c r="T16" s="26"/>
      <c r="U16" s="88"/>
    </row>
    <row r="17" spans="16:21" x14ac:dyDescent="0.3">
      <c r="P17" s="87"/>
      <c r="Q17" s="26"/>
      <c r="R17" s="26"/>
      <c r="S17" s="26"/>
      <c r="T17" s="26"/>
      <c r="U17" s="88"/>
    </row>
    <row r="18" spans="16:21" x14ac:dyDescent="0.3">
      <c r="P18" s="87"/>
      <c r="Q18" s="26"/>
      <c r="R18" s="26"/>
      <c r="S18" s="26"/>
      <c r="T18" s="26"/>
      <c r="U18" s="88"/>
    </row>
    <row r="19" spans="16:21" x14ac:dyDescent="0.3">
      <c r="P19" s="87"/>
      <c r="Q19" s="26"/>
      <c r="R19" s="26"/>
      <c r="S19" s="26"/>
      <c r="T19" s="26"/>
      <c r="U19" s="88"/>
    </row>
    <row r="20" spans="16:21" x14ac:dyDescent="0.3">
      <c r="P20" s="87"/>
      <c r="Q20" s="26"/>
      <c r="R20" s="26"/>
      <c r="S20" s="26"/>
      <c r="T20" s="26"/>
      <c r="U20" s="88"/>
    </row>
    <row r="21" spans="16:21" x14ac:dyDescent="0.3">
      <c r="P21" s="87"/>
      <c r="Q21" s="26"/>
      <c r="R21" s="26"/>
      <c r="S21" s="26"/>
      <c r="T21" s="26"/>
      <c r="U21" s="88"/>
    </row>
    <row r="22" spans="16:21" x14ac:dyDescent="0.3">
      <c r="P22" s="87"/>
      <c r="Q22" s="26"/>
      <c r="R22" s="26"/>
      <c r="S22" s="26"/>
      <c r="T22" s="26"/>
      <c r="U22" s="88"/>
    </row>
    <row r="23" spans="16:21" x14ac:dyDescent="0.3">
      <c r="P23" s="87"/>
      <c r="Q23" s="26"/>
      <c r="R23" s="26"/>
      <c r="S23" s="26"/>
      <c r="T23" s="26"/>
      <c r="U23" s="88"/>
    </row>
    <row r="24" spans="16:21" x14ac:dyDescent="0.3">
      <c r="P24" s="87"/>
      <c r="Q24" s="26"/>
      <c r="R24" s="26"/>
      <c r="S24" s="26"/>
      <c r="T24" s="26"/>
      <c r="U24" s="88"/>
    </row>
    <row r="25" spans="16:21" x14ac:dyDescent="0.3">
      <c r="P25" s="87"/>
      <c r="Q25" s="26"/>
      <c r="R25" s="26"/>
      <c r="S25" s="26"/>
      <c r="T25" s="26"/>
      <c r="U25" s="88"/>
    </row>
    <row r="26" spans="16:21" x14ac:dyDescent="0.3">
      <c r="P26" s="87"/>
      <c r="Q26" s="26"/>
      <c r="R26" s="26"/>
      <c r="S26" s="26"/>
      <c r="T26" s="26"/>
      <c r="U26" s="88"/>
    </row>
    <row r="27" spans="16:21" x14ac:dyDescent="0.3">
      <c r="P27" s="87"/>
      <c r="Q27" s="26"/>
      <c r="R27" s="26"/>
      <c r="S27" s="26"/>
      <c r="T27" s="26"/>
      <c r="U27" s="88"/>
    </row>
    <row r="28" spans="16:21" x14ac:dyDescent="0.3">
      <c r="P28" s="87"/>
      <c r="Q28" s="26"/>
      <c r="R28" s="26"/>
      <c r="S28" s="26"/>
      <c r="T28" s="26"/>
      <c r="U28" s="88"/>
    </row>
    <row r="29" spans="16:21" x14ac:dyDescent="0.3">
      <c r="P29" s="87"/>
      <c r="Q29" s="26"/>
      <c r="R29" s="26"/>
      <c r="S29" s="26"/>
      <c r="T29" s="26"/>
      <c r="U29" s="88"/>
    </row>
    <row r="30" spans="16:21" x14ac:dyDescent="0.3">
      <c r="P30" s="87"/>
      <c r="Q30" s="26"/>
      <c r="R30" s="26"/>
      <c r="S30" s="26"/>
      <c r="T30" s="26"/>
      <c r="U30" s="88"/>
    </row>
    <row r="31" spans="16:21" x14ac:dyDescent="0.3">
      <c r="P31" s="87"/>
      <c r="Q31" s="26"/>
      <c r="R31" s="26"/>
      <c r="S31" s="26"/>
      <c r="T31" s="26"/>
      <c r="U31" s="88"/>
    </row>
    <row r="32" spans="16:21" x14ac:dyDescent="0.3">
      <c r="P32" s="87"/>
      <c r="Q32" s="26"/>
      <c r="R32" s="26"/>
      <c r="S32" s="26"/>
      <c r="T32" s="26"/>
      <c r="U32" s="88"/>
    </row>
    <row r="33" spans="16:24" x14ac:dyDescent="0.3">
      <c r="P33" s="87"/>
      <c r="Q33" s="26"/>
      <c r="R33" s="26"/>
      <c r="S33" s="26"/>
      <c r="T33" s="26"/>
      <c r="U33" s="88"/>
    </row>
    <row r="34" spans="16:24" x14ac:dyDescent="0.3">
      <c r="P34" s="87"/>
      <c r="Q34" s="26"/>
      <c r="R34" s="26"/>
      <c r="S34" s="26"/>
      <c r="T34" s="26"/>
      <c r="U34" s="88"/>
    </row>
    <row r="35" spans="16:24" x14ac:dyDescent="0.3">
      <c r="P35" s="87"/>
      <c r="Q35" s="26"/>
      <c r="R35" s="26"/>
      <c r="S35" s="26"/>
      <c r="T35" s="26"/>
      <c r="U35" s="88"/>
    </row>
    <row r="36" spans="16:24" x14ac:dyDescent="0.3">
      <c r="P36" s="87"/>
      <c r="Q36" s="26"/>
      <c r="R36" s="26"/>
      <c r="S36" s="26"/>
      <c r="T36" s="26"/>
      <c r="U36" s="88"/>
    </row>
    <row r="37" spans="16:24" x14ac:dyDescent="0.3">
      <c r="P37" s="87"/>
      <c r="Q37" s="26"/>
      <c r="R37" s="26"/>
      <c r="S37" s="26"/>
      <c r="T37" s="26"/>
      <c r="U37" s="88"/>
    </row>
    <row r="38" spans="16:24" x14ac:dyDescent="0.3">
      <c r="P38" s="87"/>
      <c r="Q38" s="26"/>
      <c r="R38" s="26"/>
      <c r="S38" s="26"/>
      <c r="T38" s="26"/>
      <c r="U38" s="88"/>
      <c r="V38"/>
      <c r="W38"/>
      <c r="X38"/>
    </row>
    <row r="39" spans="16:24" x14ac:dyDescent="0.3">
      <c r="P39" s="87"/>
      <c r="Q39" s="26"/>
      <c r="R39" s="26"/>
      <c r="S39" s="26"/>
      <c r="T39" s="26"/>
      <c r="U39" s="88"/>
      <c r="V39"/>
      <c r="W39"/>
      <c r="X39"/>
    </row>
    <row r="40" spans="16:24" x14ac:dyDescent="0.3">
      <c r="P40" s="87"/>
      <c r="Q40" s="26"/>
      <c r="R40" s="26"/>
      <c r="S40" s="26"/>
      <c r="T40" s="26"/>
      <c r="U40" s="88"/>
      <c r="V40"/>
      <c r="W40"/>
      <c r="X40"/>
    </row>
    <row r="41" spans="16:24" x14ac:dyDescent="0.3">
      <c r="P41" s="87"/>
      <c r="Q41" s="26"/>
      <c r="R41" s="26"/>
      <c r="S41" s="26"/>
      <c r="T41" s="26"/>
      <c r="U41" s="88"/>
      <c r="V41"/>
      <c r="W41"/>
      <c r="X41"/>
    </row>
    <row r="42" spans="16:24" x14ac:dyDescent="0.3">
      <c r="P42" s="87"/>
      <c r="Q42" s="26"/>
      <c r="R42" s="26"/>
      <c r="S42" s="26"/>
      <c r="T42" s="26"/>
      <c r="U42" s="88"/>
    </row>
    <row r="43" spans="16:24" x14ac:dyDescent="0.3">
      <c r="P43" s="87"/>
      <c r="Q43" s="26"/>
      <c r="R43" s="26"/>
      <c r="S43" s="26"/>
      <c r="T43" s="26"/>
      <c r="U43" s="88"/>
    </row>
    <row r="44" spans="16:24" x14ac:dyDescent="0.3">
      <c r="P44" s="87"/>
      <c r="Q44" s="26"/>
      <c r="R44" s="26"/>
      <c r="S44" s="26"/>
      <c r="T44" s="26"/>
      <c r="U44" s="88"/>
    </row>
    <row r="45" spans="16:24" x14ac:dyDescent="0.3">
      <c r="P45" s="87"/>
      <c r="Q45" s="26"/>
      <c r="R45" s="26"/>
      <c r="S45" s="26"/>
      <c r="T45" s="26"/>
      <c r="U45" s="88"/>
    </row>
    <row r="46" spans="16:24" x14ac:dyDescent="0.3">
      <c r="P46" s="87"/>
      <c r="Q46" s="26"/>
      <c r="R46" s="26"/>
      <c r="S46" s="26"/>
      <c r="T46" s="26"/>
      <c r="U46" s="88"/>
    </row>
    <row r="47" spans="16:24" x14ac:dyDescent="0.3">
      <c r="P47" s="87"/>
      <c r="Q47" s="26"/>
      <c r="R47" s="26"/>
      <c r="S47" s="26"/>
      <c r="T47" s="26"/>
      <c r="U47" s="88"/>
    </row>
    <row r="48" spans="16:24" x14ac:dyDescent="0.3">
      <c r="P48" s="87"/>
      <c r="Q48" s="26"/>
      <c r="R48" s="26"/>
      <c r="S48" s="26"/>
      <c r="T48" s="26"/>
      <c r="U48" s="88"/>
    </row>
    <row r="49" spans="16:21" x14ac:dyDescent="0.3">
      <c r="P49" s="87"/>
      <c r="Q49" s="26"/>
      <c r="R49" s="26"/>
      <c r="S49" s="26"/>
      <c r="T49" s="26"/>
      <c r="U49" s="88"/>
    </row>
    <row r="50" spans="16:21" x14ac:dyDescent="0.3">
      <c r="P50" s="87"/>
      <c r="Q50" s="26"/>
      <c r="R50" s="26"/>
      <c r="S50" s="26"/>
      <c r="T50" s="26"/>
      <c r="U50" s="88"/>
    </row>
    <row r="51" spans="16:21" x14ac:dyDescent="0.3">
      <c r="P51" s="87"/>
      <c r="Q51" s="26"/>
      <c r="R51" s="26"/>
      <c r="S51" s="26"/>
      <c r="T51" s="26"/>
      <c r="U51" s="88"/>
    </row>
    <row r="52" spans="16:21" x14ac:dyDescent="0.3">
      <c r="P52" s="87"/>
      <c r="Q52" s="26"/>
      <c r="R52" s="26"/>
      <c r="S52" s="26"/>
      <c r="T52" s="26"/>
      <c r="U52" s="88"/>
    </row>
    <row r="53" spans="16:21" x14ac:dyDescent="0.3">
      <c r="P53" s="87"/>
      <c r="Q53" s="26"/>
      <c r="R53" s="26"/>
      <c r="S53" s="26"/>
      <c r="T53" s="26"/>
      <c r="U53" s="88"/>
    </row>
    <row r="54" spans="16:21" x14ac:dyDescent="0.3">
      <c r="P54" s="87"/>
      <c r="Q54" s="26"/>
      <c r="R54" s="26"/>
      <c r="S54" s="26"/>
      <c r="T54" s="26"/>
      <c r="U54" s="88"/>
    </row>
    <row r="55" spans="16:21" x14ac:dyDescent="0.3">
      <c r="P55" s="87"/>
      <c r="Q55" s="26"/>
      <c r="R55" s="26"/>
      <c r="S55" s="26"/>
      <c r="T55" s="26"/>
      <c r="U55" s="88"/>
    </row>
    <row r="56" spans="16:21" x14ac:dyDescent="0.3">
      <c r="P56" s="87"/>
      <c r="Q56" s="26"/>
      <c r="R56" s="26"/>
      <c r="S56" s="26"/>
      <c r="T56" s="26"/>
      <c r="U56" s="88"/>
    </row>
    <row r="57" spans="16:21" x14ac:dyDescent="0.3">
      <c r="P57" s="87"/>
      <c r="Q57" s="26"/>
      <c r="R57" s="26"/>
      <c r="S57" s="26"/>
      <c r="T57" s="26"/>
      <c r="U57" s="88"/>
    </row>
    <row r="58" spans="16:21" x14ac:dyDescent="0.3">
      <c r="P58" s="87"/>
      <c r="Q58" s="26"/>
      <c r="R58" s="26"/>
      <c r="S58" s="26"/>
      <c r="T58" s="26"/>
      <c r="U58" s="88"/>
    </row>
    <row r="59" spans="16:21" x14ac:dyDescent="0.3">
      <c r="P59" s="87"/>
      <c r="Q59" s="26"/>
      <c r="R59" s="26"/>
      <c r="S59" s="26"/>
      <c r="T59" s="26"/>
      <c r="U59" s="88"/>
    </row>
    <row r="60" spans="16:21" x14ac:dyDescent="0.3">
      <c r="P60" s="87"/>
      <c r="Q60" s="26"/>
      <c r="R60" s="26"/>
      <c r="S60" s="26"/>
      <c r="T60" s="26"/>
      <c r="U60" s="88"/>
    </row>
    <row r="61" spans="16:21" x14ac:dyDescent="0.3">
      <c r="P61" s="87"/>
      <c r="Q61" s="26"/>
      <c r="R61" s="26"/>
      <c r="S61" s="26"/>
      <c r="T61" s="26"/>
      <c r="U61" s="88"/>
    </row>
    <row r="62" spans="16:21" x14ac:dyDescent="0.3">
      <c r="P62" s="87"/>
      <c r="Q62" s="26"/>
      <c r="R62" s="26"/>
      <c r="S62" s="26"/>
      <c r="T62" s="26"/>
      <c r="U62" s="88"/>
    </row>
    <row r="63" spans="16:21" x14ac:dyDescent="0.3">
      <c r="P63" s="87"/>
      <c r="Q63" s="26"/>
      <c r="R63" s="26"/>
      <c r="S63" s="26"/>
      <c r="T63" s="26"/>
      <c r="U63" s="88"/>
    </row>
    <row r="64" spans="16:21" x14ac:dyDescent="0.3">
      <c r="P64" s="87"/>
      <c r="Q64" s="26"/>
      <c r="R64" s="26"/>
      <c r="S64" s="26"/>
      <c r="T64" s="26"/>
      <c r="U64" s="88"/>
    </row>
    <row r="65" spans="1:21" x14ac:dyDescent="0.3">
      <c r="P65" s="87"/>
      <c r="Q65" s="26"/>
      <c r="R65" s="26"/>
      <c r="S65" s="26"/>
      <c r="T65" s="26"/>
      <c r="U65" s="88"/>
    </row>
    <row r="66" spans="1:21" x14ac:dyDescent="0.3">
      <c r="P66" s="87"/>
      <c r="Q66" s="26"/>
      <c r="R66" s="26"/>
      <c r="S66" s="26"/>
      <c r="T66" s="26"/>
      <c r="U66" s="88"/>
    </row>
    <row r="67" spans="1:21" x14ac:dyDescent="0.3">
      <c r="P67" s="87"/>
      <c r="Q67" s="26"/>
      <c r="R67" s="26"/>
      <c r="S67" s="26"/>
      <c r="T67" s="26"/>
      <c r="U67" s="88"/>
    </row>
    <row r="68" spans="1:21" x14ac:dyDescent="0.3">
      <c r="P68" s="87"/>
      <c r="Q68" s="26"/>
      <c r="R68" s="26"/>
      <c r="S68" s="26"/>
      <c r="T68" s="26"/>
      <c r="U68" s="88"/>
    </row>
    <row r="69" spans="1:21" x14ac:dyDescent="0.3">
      <c r="P69" s="87"/>
      <c r="Q69" s="26"/>
      <c r="R69" s="26"/>
      <c r="S69" s="26"/>
      <c r="T69" s="26"/>
      <c r="U69" s="88"/>
    </row>
    <row r="70" spans="1:21" x14ac:dyDescent="0.3">
      <c r="P70" s="87"/>
      <c r="Q70" s="26"/>
      <c r="R70" s="26"/>
      <c r="S70" s="26"/>
      <c r="T70" s="26"/>
      <c r="U70" s="88"/>
    </row>
    <row r="71" spans="1:21" x14ac:dyDescent="0.3">
      <c r="P71" s="87"/>
      <c r="Q71" s="26"/>
      <c r="R71" s="26"/>
      <c r="S71" s="26"/>
      <c r="T71" s="26"/>
      <c r="U71" s="88"/>
    </row>
    <row r="72" spans="1:21" x14ac:dyDescent="0.3">
      <c r="P72" s="87"/>
      <c r="Q72" s="26"/>
      <c r="R72" s="26"/>
      <c r="S72" s="26"/>
      <c r="T72" s="26"/>
      <c r="U72" s="88"/>
    </row>
    <row r="73" spans="1:21" x14ac:dyDescent="0.3">
      <c r="P73" s="87"/>
      <c r="Q73" s="26"/>
      <c r="R73" s="26"/>
      <c r="S73" s="26"/>
      <c r="T73" s="26"/>
      <c r="U73" s="88"/>
    </row>
    <row r="74" spans="1:21" x14ac:dyDescent="0.3">
      <c r="P74" s="87"/>
      <c r="Q74" s="26"/>
      <c r="R74" s="26"/>
      <c r="S74" s="26"/>
      <c r="T74" s="26"/>
      <c r="U74" s="88"/>
    </row>
    <row r="75" spans="1:21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 s="87"/>
      <c r="Q75" s="26"/>
      <c r="R75" s="26"/>
      <c r="S75" s="26"/>
      <c r="T75" s="26"/>
      <c r="U75" s="88"/>
    </row>
    <row r="76" spans="1:21" x14ac:dyDescent="0.3">
      <c r="P76" s="87"/>
      <c r="Q76" s="26"/>
      <c r="R76" s="26"/>
      <c r="S76" s="26"/>
      <c r="T76" s="26"/>
      <c r="U76" s="88"/>
    </row>
    <row r="77" spans="1:21" x14ac:dyDescent="0.3">
      <c r="P77" s="87"/>
      <c r="Q77" s="26"/>
      <c r="R77" s="26"/>
      <c r="S77" s="26"/>
      <c r="T77" s="26"/>
      <c r="U77" s="88"/>
    </row>
    <row r="78" spans="1:21" x14ac:dyDescent="0.3">
      <c r="P78" s="87"/>
      <c r="Q78" s="26"/>
      <c r="R78" s="26"/>
      <c r="S78" s="26"/>
      <c r="T78" s="26"/>
      <c r="U78" s="88"/>
    </row>
    <row r="79" spans="1:21" x14ac:dyDescent="0.3">
      <c r="P79" s="87"/>
      <c r="Q79" s="26"/>
      <c r="R79" s="26"/>
      <c r="S79" s="26"/>
      <c r="T79" s="26"/>
      <c r="U79" s="88"/>
    </row>
    <row r="80" spans="1:21" x14ac:dyDescent="0.3">
      <c r="P80" s="87"/>
      <c r="Q80" s="26"/>
      <c r="R80" s="26"/>
      <c r="S80" s="26"/>
      <c r="T80" s="26"/>
      <c r="U80" s="88"/>
    </row>
    <row r="81" spans="16:21" x14ac:dyDescent="0.3">
      <c r="P81" s="87"/>
      <c r="Q81" s="26"/>
      <c r="R81" s="26"/>
      <c r="S81" s="26"/>
      <c r="T81" s="26"/>
      <c r="U81" s="88"/>
    </row>
    <row r="82" spans="16:21" ht="15" thickBot="1" x14ac:dyDescent="0.35">
      <c r="P82" s="89"/>
      <c r="Q82" s="90"/>
      <c r="R82" s="90"/>
      <c r="S82" s="90"/>
      <c r="T82" s="90"/>
      <c r="U82" s="91"/>
    </row>
    <row r="83" spans="16:21" ht="15" thickTop="1" x14ac:dyDescent="0.3"/>
  </sheetData>
  <sheetProtection algorithmName="SHA-512" hashValue="Rzf2J368cGei9iKi4hpLW59rp7Tq9Om8ZceokjlHaeNZjBDdtiiCV4+Cdfr2veSuzIFVTTI9VjIXsE73w/y1BQ==" saltValue="FrFb8TxwjDcO9ngtWNVYew==" spinCount="100000" sheet="1" objects="1" scenarios="1" selectLockedCells="1" selectUnlockedCells="1"/>
  <mergeCells count="2">
    <mergeCell ref="B3:N3"/>
    <mergeCell ref="P5:U5"/>
  </mergeCells>
  <pageMargins left="0.51181102362204722" right="0.51181102362204722" top="0.39370078740157483" bottom="0.39370078740157483" header="0.31496062992125984" footer="0.31496062992125984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Mes">
              <controlPr defaultSize="0" autoLine="0" autoPict="0">
                <anchor moveWithCells="1">
                  <from>
                    <xdr:col>17</xdr:col>
                    <xdr:colOff>0</xdr:colOff>
                    <xdr:row>46</xdr:row>
                    <xdr:rowOff>0</xdr:rowOff>
                  </from>
                  <to>
                    <xdr:col>18</xdr:col>
                    <xdr:colOff>502920</xdr:colOff>
                    <xdr:row>47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Mes">
              <controlPr defaultSize="0" autoLine="0" autoPict="0">
                <anchor moveWithCells="1">
                  <from>
                    <xdr:col>17</xdr:col>
                    <xdr:colOff>0</xdr:colOff>
                    <xdr:row>27</xdr:row>
                    <xdr:rowOff>99060</xdr:rowOff>
                  </from>
                  <to>
                    <xdr:col>18</xdr:col>
                    <xdr:colOff>502920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17</xdr:col>
                    <xdr:colOff>0</xdr:colOff>
                    <xdr:row>38</xdr:row>
                    <xdr:rowOff>60960</xdr:rowOff>
                  </from>
                  <to>
                    <xdr:col>18</xdr:col>
                    <xdr:colOff>502920</xdr:colOff>
                    <xdr:row>39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DropAno">
              <controlPr defaultSize="0" autoLine="0" autoPict="0">
                <anchor moveWithCells="1">
                  <from>
                    <xdr:col>16</xdr:col>
                    <xdr:colOff>160020</xdr:colOff>
                    <xdr:row>15</xdr:row>
                    <xdr:rowOff>76200</xdr:rowOff>
                  </from>
                  <to>
                    <xdr:col>18</xdr:col>
                    <xdr:colOff>152400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DropMes">
              <controlPr defaultSize="0" autoLine="0" autoPict="0">
                <anchor moveWithCells="1">
                  <from>
                    <xdr:col>18</xdr:col>
                    <xdr:colOff>358140</xdr:colOff>
                    <xdr:row>15</xdr:row>
                    <xdr:rowOff>76200</xdr:rowOff>
                  </from>
                  <to>
                    <xdr:col>19</xdr:col>
                    <xdr:colOff>487680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3E47-F213-4644-A28E-A6600C86150A}">
  <sheetPr codeName="Planilha2">
    <tabColor rgb="FF3C88A6"/>
  </sheetPr>
  <dimension ref="B1:AB84"/>
  <sheetViews>
    <sheetView showGridLines="0" showRowColHeaders="0" zoomScale="85" zoomScaleNormal="85" workbookViewId="0">
      <selection activeCell="D13" sqref="D13"/>
    </sheetView>
  </sheetViews>
  <sheetFormatPr defaultColWidth="9.109375" defaultRowHeight="14.4" x14ac:dyDescent="0.3"/>
  <cols>
    <col min="1" max="1" width="5.6640625" style="27" customWidth="1"/>
    <col min="2" max="2" width="14.33203125" style="27" customWidth="1"/>
    <col min="3" max="3" width="19.6640625" style="27" customWidth="1"/>
    <col min="4" max="4" width="18.88671875" style="27" bestFit="1" customWidth="1"/>
    <col min="5" max="5" width="17.6640625" style="27" customWidth="1"/>
    <col min="6" max="6" width="11.88671875" style="27" bestFit="1" customWidth="1"/>
    <col min="7" max="7" width="11.33203125" style="27" bestFit="1" customWidth="1"/>
    <col min="8" max="11" width="9.88671875" style="27" customWidth="1"/>
    <col min="12" max="13" width="9.6640625" style="27" customWidth="1"/>
    <col min="14" max="14" width="10.109375" style="27" bestFit="1" customWidth="1"/>
    <col min="15" max="15" width="24.109375" style="27" customWidth="1"/>
    <col min="16" max="16" width="22" style="27" customWidth="1"/>
    <col min="17" max="18" width="10.109375" style="27" hidden="1" customWidth="1"/>
    <col min="19" max="27" width="0" style="27" hidden="1" customWidth="1"/>
    <col min="28" max="28" width="57.88671875" style="27" hidden="1" customWidth="1"/>
    <col min="29" max="16384" width="9.109375" style="27"/>
  </cols>
  <sheetData>
    <row r="1" spans="2:28" s="17" customFormat="1" ht="40.5" customHeight="1" thickBot="1" x14ac:dyDescent="0.55000000000000004">
      <c r="B1" s="32" t="s">
        <v>44</v>
      </c>
      <c r="C1" s="25"/>
      <c r="D1" s="24"/>
      <c r="E1" s="24"/>
      <c r="F1" s="24"/>
      <c r="G1" s="24"/>
      <c r="H1" s="24"/>
      <c r="I1" s="24"/>
      <c r="J1" s="24"/>
      <c r="K1" s="24"/>
      <c r="L1" s="24"/>
      <c r="M1" s="24"/>
      <c r="N1" s="23"/>
      <c r="Q1" s="86" t="s">
        <v>71</v>
      </c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</row>
    <row r="2" spans="2:28" s="17" customFormat="1" ht="5.25" customHeight="1" thickTop="1" x14ac:dyDescent="0.3">
      <c r="B2" s="18"/>
    </row>
    <row r="3" spans="2:28" s="17" customFormat="1" ht="21" customHeight="1" x14ac:dyDescent="0.3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2:28" s="17" customFormat="1" ht="7.5" customHeight="1" x14ac:dyDescent="0.3">
      <c r="B4" s="18"/>
    </row>
    <row r="5" spans="2:28" s="17" customFormat="1" ht="31.95" customHeight="1" x14ac:dyDescent="0.3">
      <c r="B5" s="135" t="str">
        <f>CONCATENATE(IF(AA9,AB9&amp;" ",""),IF(AA10,AB10&amp;" ",""),IF(AA11,AB11&amp;" ",""))</f>
        <v/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6"/>
      <c r="P5" s="136"/>
    </row>
    <row r="6" spans="2:28" s="17" customFormat="1" ht="7.5" customHeight="1" thickBot="1" x14ac:dyDescent="0.35">
      <c r="B6" s="18"/>
    </row>
    <row r="7" spans="2:28" ht="61.5" customHeight="1" thickBot="1" x14ac:dyDescent="0.35">
      <c r="B7" s="28" t="s">
        <v>22</v>
      </c>
      <c r="C7" s="28" t="s">
        <v>86</v>
      </c>
      <c r="D7" s="28" t="s">
        <v>28</v>
      </c>
      <c r="E7" s="28" t="s">
        <v>36</v>
      </c>
    </row>
    <row r="8" spans="2:28" x14ac:dyDescent="0.3">
      <c r="B8" s="29"/>
      <c r="C8" s="129">
        <f>SUPORTE!$Q$4</f>
        <v>0</v>
      </c>
      <c r="D8" s="131">
        <f>SUPORTE!Q12</f>
        <v>0</v>
      </c>
      <c r="E8" s="131" t="str">
        <f>IF($D$8&gt;=T_BaseFatorR[FATOR R],"Anexo III","Anexo V")</f>
        <v>Anexo V</v>
      </c>
      <c r="H8" s="26"/>
      <c r="I8" s="26"/>
      <c r="M8" s="26"/>
      <c r="N8" s="26"/>
      <c r="O8" s="26"/>
      <c r="AA8" s="27" t="s">
        <v>43</v>
      </c>
      <c r="AB8" s="27" t="s">
        <v>42</v>
      </c>
    </row>
    <row r="9" spans="2:28" ht="15" thickBot="1" x14ac:dyDescent="0.35">
      <c r="B9" s="30"/>
      <c r="C9" s="130"/>
      <c r="D9" s="132"/>
      <c r="E9" s="132"/>
      <c r="H9" s="26"/>
      <c r="I9" s="26"/>
      <c r="M9" s="26"/>
      <c r="N9" s="26"/>
      <c r="O9" s="26"/>
    </row>
    <row r="11" spans="2:28" ht="16.2" thickBot="1" x14ac:dyDescent="0.35">
      <c r="B11" s="133" t="s">
        <v>35</v>
      </c>
      <c r="C11" s="133"/>
      <c r="D11" s="133"/>
      <c r="E11" s="133"/>
      <c r="F11" s="133"/>
      <c r="AA11" s="74"/>
    </row>
    <row r="12" spans="2:28" s="31" customFormat="1" ht="31.5" customHeight="1" thickBot="1" x14ac:dyDescent="0.35">
      <c r="B12" s="97" t="s">
        <v>0</v>
      </c>
      <c r="C12" s="98" t="s">
        <v>34</v>
      </c>
      <c r="D12" s="99" t="s">
        <v>2</v>
      </c>
      <c r="E12" s="99" t="s">
        <v>28</v>
      </c>
      <c r="F12" s="100" t="s">
        <v>31</v>
      </c>
    </row>
    <row r="13" spans="2:28" ht="15.6" x14ac:dyDescent="0.3">
      <c r="B13" s="101">
        <f>EDATE(T_DtIni[DATA INICIAL],ROW()-ROW('Fator R'!$B$12)-1)</f>
        <v>42736</v>
      </c>
      <c r="C13" s="102">
        <f>IFERROR(SUMIFS('Anexo I - Comércio'!$C$21:$C$92,'Anexo I - Comércio'!$B$21:$B$92,'Fator R'!$B13),0)+IFERROR(SUMIFS('Anexo II - Indústria'!$C$21:$C$92,'Anexo II - Indústria'!$B$21:$B$92,'Fator R'!$B13),0)+IFERROR(SUMIFS('Anexo III - Serviços'!$C$21:$C$92,'Anexo III - Serviços'!$B$21:$B$92,'Fator R'!$B13),0)+IFERROR(SUMIFS('Anexo IV - Serviços'!$C$21:$C$92,'Anexo IV - Serviços'!$B$21:$B$92,'Fator R'!$B13),0)+IFERROR(SUMIFS('Anexo V - Serviços'!$C$21:$C$92,'Anexo V - Serviços'!$B$21:$B$92,'Fator R'!$B13),0)</f>
        <v>0</v>
      </c>
      <c r="D13" s="94"/>
      <c r="E13" s="103" t="str">
        <f>IF('Fator R'!$D13="","",IFERROR((SUMIFS('Fator R'!$D$13:$D$84,'Fator R'!$B$13:$B$84,IF(MATCH('Fator R'!$B13,'Fator R'!$B$13:$B$84,0)=1,"=","&lt;")&amp;'Fator R'!$B13,'Fator R'!$B$13:$B$84,"&gt;="&amp;IF(MATCH('Fator R'!$B13,'Fator R'!$B$13:$B$84,0)&lt;12,T_DtIni[DATA INICIAL],EDATE('Fator R'!$B13,-12)))/(IF(MATCH('Fator R'!$B13,'Fator R'!$B$13:$B$84,0)&gt;12,12,MATCH('Fator R'!$B13,'Fator R'!$B$13:$B$84,0)))*12)/(SUMIFS('Fator R'!$C$13:$C$84,'Fator R'!$B$13:$B$84,IF(MATCH('Fator R'!$B13,'Fator R'!$B$13:$B$84,0)=1,"=","&lt;")&amp;'Fator R'!$B13,'Fator R'!$B$13:$B$84,"&gt;="&amp;IF(MATCH('Fator R'!$B13,'Fator R'!$B$13:$B$84,0)&lt;12,T_DtIni[DATA INICIAL],EDATE('Fator R'!$B13,-12)))/(IF(MATCH('Fator R'!$B13,'Fator R'!$B$13:$B$84,0)&gt;12,12,MATCH('Fator R'!$B13,'Fator R'!$B$13:$B$84,0)))*12),0))</f>
        <v/>
      </c>
      <c r="F13" s="104" t="str">
        <f>IF('Fator R'!$D13="","",IF('Fator R'!$E13&gt;=T_BaseFatorR[FATOR R],"Anexo III","Anexo V"))</f>
        <v/>
      </c>
    </row>
    <row r="14" spans="2:28" ht="15.6" x14ac:dyDescent="0.3">
      <c r="B14" s="105">
        <f>EDATE(T_DtIni[DATA INICIAL],ROW()-ROW('Fator R'!$B$12)-1)</f>
        <v>42767</v>
      </c>
      <c r="C14" s="106">
        <f>IFERROR(SUMIFS('Anexo I - Comércio'!$C$21:$C$92,'Anexo I - Comércio'!$B$21:$B$92,'Fator R'!$B14),0)+IFERROR(SUMIFS('Anexo II - Indústria'!$C$21:$C$92,'Anexo II - Indústria'!$B$21:$B$92,'Fator R'!$B14),0)+IFERROR(SUMIFS('Anexo III - Serviços'!$C$21:$C$92,'Anexo III - Serviços'!$B$21:$B$92,'Fator R'!$B14),0)+IFERROR(SUMIFS('Anexo IV - Serviços'!$C$21:$C$92,'Anexo IV - Serviços'!$B$21:$B$92,'Fator R'!$B14),0)+IFERROR(SUMIFS('Anexo V - Serviços'!$C$21:$C$92,'Anexo V - Serviços'!$B$21:$B$92,'Fator R'!$B14),0)</f>
        <v>0</v>
      </c>
      <c r="D14" s="95"/>
      <c r="E14" s="107" t="str">
        <f>IF('Fator R'!$D14="","",IFERROR((SUMIFS('Fator R'!$D$13:$D$84,'Fator R'!$B$13:$B$84,IF(MATCH('Fator R'!$B14,'Fator R'!$B$13:$B$84,0)=1,"=","&lt;")&amp;'Fator R'!$B14,'Fator R'!$B$13:$B$84,"&gt;="&amp;IF(MATCH('Fator R'!$B14,'Fator R'!$B$13:$B$84,0)&lt;12,T_DtIni[DATA INICIAL],EDATE('Fator R'!$B14,-12)))/(IF(MATCH('Fator R'!$B14,'Fator R'!$B$13:$B$84,0)&gt;12,12,MATCH('Fator R'!$B14,'Fator R'!$B$13:$B$84,0)))*12)/(SUMIFS('Fator R'!$C$13:$C$84,'Fator R'!$B$13:$B$84,IF(MATCH('Fator R'!$B14,'Fator R'!$B$13:$B$84,0)=1,"=","&lt;")&amp;'Fator R'!$B14,'Fator R'!$B$13:$B$84,"&gt;="&amp;IF(MATCH('Fator R'!$B14,'Fator R'!$B$13:$B$84,0)&lt;12,T_DtIni[DATA INICIAL],EDATE('Fator R'!$B14,-12)))/(IF(MATCH('Fator R'!$B14,'Fator R'!$B$13:$B$84,0)&gt;12,12,MATCH('Fator R'!$B14,'Fator R'!$B$13:$B$84,0)))*12),0))</f>
        <v/>
      </c>
      <c r="F14" s="108" t="str">
        <f>IF('Fator R'!$D14="","",IF('Fator R'!$E14&gt;=T_BaseFatorR[FATOR R],"Anexo III","Anexo V"))</f>
        <v/>
      </c>
    </row>
    <row r="15" spans="2:28" ht="15.6" x14ac:dyDescent="0.3">
      <c r="B15" s="105">
        <f>EDATE(T_DtIni[DATA INICIAL],ROW()-ROW('Fator R'!$B$12)-1)</f>
        <v>42795</v>
      </c>
      <c r="C15" s="106">
        <f>IFERROR(SUMIFS('Anexo I - Comércio'!$C$21:$C$92,'Anexo I - Comércio'!$B$21:$B$92,'Fator R'!$B15),0)+IFERROR(SUMIFS('Anexo II - Indústria'!$C$21:$C$92,'Anexo II - Indústria'!$B$21:$B$92,'Fator R'!$B15),0)+IFERROR(SUMIFS('Anexo III - Serviços'!$C$21:$C$92,'Anexo III - Serviços'!$B$21:$B$92,'Fator R'!$B15),0)+IFERROR(SUMIFS('Anexo IV - Serviços'!$C$21:$C$92,'Anexo IV - Serviços'!$B$21:$B$92,'Fator R'!$B15),0)+IFERROR(SUMIFS('Anexo V - Serviços'!$C$21:$C$92,'Anexo V - Serviços'!$B$21:$B$92,'Fator R'!$B15),0)</f>
        <v>0</v>
      </c>
      <c r="D15" s="95"/>
      <c r="E15" s="107" t="str">
        <f>IF('Fator R'!$D15="","",IFERROR((SUMIFS('Fator R'!$D$13:$D$84,'Fator R'!$B$13:$B$84,IF(MATCH('Fator R'!$B15,'Fator R'!$B$13:$B$84,0)=1,"=","&lt;")&amp;'Fator R'!$B15,'Fator R'!$B$13:$B$84,"&gt;="&amp;IF(MATCH('Fator R'!$B15,'Fator R'!$B$13:$B$84,0)&lt;12,T_DtIni[DATA INICIAL],EDATE('Fator R'!$B15,-12)))/(IF(MATCH('Fator R'!$B15,'Fator R'!$B$13:$B$84,0)&gt;12,12,MATCH('Fator R'!$B15,'Fator R'!$B$13:$B$84,0)))*12)/(SUMIFS('Fator R'!$C$13:$C$84,'Fator R'!$B$13:$B$84,IF(MATCH('Fator R'!$B15,'Fator R'!$B$13:$B$84,0)=1,"=","&lt;")&amp;'Fator R'!$B15,'Fator R'!$B$13:$B$84,"&gt;="&amp;IF(MATCH('Fator R'!$B15,'Fator R'!$B$13:$B$84,0)&lt;12,T_DtIni[DATA INICIAL],EDATE('Fator R'!$B15,-12)))/(IF(MATCH('Fator R'!$B15,'Fator R'!$B$13:$B$84,0)&gt;12,12,MATCH('Fator R'!$B15,'Fator R'!$B$13:$B$84,0)))*12),0))</f>
        <v/>
      </c>
      <c r="F15" s="108" t="str">
        <f>IF('Fator R'!$D15="","",IF('Fator R'!$E15&gt;=T_BaseFatorR[FATOR R],"Anexo III","Anexo V"))</f>
        <v/>
      </c>
    </row>
    <row r="16" spans="2:28" ht="15.6" x14ac:dyDescent="0.3">
      <c r="B16" s="105">
        <f>EDATE(T_DtIni[DATA INICIAL],ROW()-ROW('Fator R'!$B$12)-1)</f>
        <v>42826</v>
      </c>
      <c r="C16" s="106">
        <f>IFERROR(SUMIFS('Anexo I - Comércio'!$C$21:$C$92,'Anexo I - Comércio'!$B$21:$B$92,'Fator R'!$B16),0)+IFERROR(SUMIFS('Anexo II - Indústria'!$C$21:$C$92,'Anexo II - Indústria'!$B$21:$B$92,'Fator R'!$B16),0)+IFERROR(SUMIFS('Anexo III - Serviços'!$C$21:$C$92,'Anexo III - Serviços'!$B$21:$B$92,'Fator R'!$B16),0)+IFERROR(SUMIFS('Anexo IV - Serviços'!$C$21:$C$92,'Anexo IV - Serviços'!$B$21:$B$92,'Fator R'!$B16),0)+IFERROR(SUMIFS('Anexo V - Serviços'!$C$21:$C$92,'Anexo V - Serviços'!$B$21:$B$92,'Fator R'!$B16),0)</f>
        <v>0</v>
      </c>
      <c r="D16" s="95"/>
      <c r="E16" s="107" t="str">
        <f>IF('Fator R'!$D16="","",IFERROR((SUMIFS('Fator R'!$D$13:$D$84,'Fator R'!$B$13:$B$84,IF(MATCH('Fator R'!$B16,'Fator R'!$B$13:$B$84,0)=1,"=","&lt;")&amp;'Fator R'!$B16,'Fator R'!$B$13:$B$84,"&gt;="&amp;IF(MATCH('Fator R'!$B16,'Fator R'!$B$13:$B$84,0)&lt;12,T_DtIni[DATA INICIAL],EDATE('Fator R'!$B16,-12)))/(IF(MATCH('Fator R'!$B16,'Fator R'!$B$13:$B$84,0)&gt;12,12,MATCH('Fator R'!$B16,'Fator R'!$B$13:$B$84,0)))*12)/(SUMIFS('Fator R'!$C$13:$C$84,'Fator R'!$B$13:$B$84,IF(MATCH('Fator R'!$B16,'Fator R'!$B$13:$B$84,0)=1,"=","&lt;")&amp;'Fator R'!$B16,'Fator R'!$B$13:$B$84,"&gt;="&amp;IF(MATCH('Fator R'!$B16,'Fator R'!$B$13:$B$84,0)&lt;12,T_DtIni[DATA INICIAL],EDATE('Fator R'!$B16,-12)))/(IF(MATCH('Fator R'!$B16,'Fator R'!$B$13:$B$84,0)&gt;12,12,MATCH('Fator R'!$B16,'Fator R'!$B$13:$B$84,0)))*12),0))</f>
        <v/>
      </c>
      <c r="F16" s="108" t="str">
        <f>IF('Fator R'!$D16="","",IF('Fator R'!$E16&gt;=T_BaseFatorR[FATOR R],"Anexo III","Anexo V"))</f>
        <v/>
      </c>
    </row>
    <row r="17" spans="2:6" ht="15.6" x14ac:dyDescent="0.3">
      <c r="B17" s="105">
        <f>EDATE(T_DtIni[DATA INICIAL],ROW()-ROW('Fator R'!$B$12)-1)</f>
        <v>42856</v>
      </c>
      <c r="C17" s="106">
        <f>IFERROR(SUMIFS('Anexo I - Comércio'!$C$21:$C$92,'Anexo I - Comércio'!$B$21:$B$92,'Fator R'!$B17),0)+IFERROR(SUMIFS('Anexo II - Indústria'!$C$21:$C$92,'Anexo II - Indústria'!$B$21:$B$92,'Fator R'!$B17),0)+IFERROR(SUMIFS('Anexo III - Serviços'!$C$21:$C$92,'Anexo III - Serviços'!$B$21:$B$92,'Fator R'!$B17),0)+IFERROR(SUMIFS('Anexo IV - Serviços'!$C$21:$C$92,'Anexo IV - Serviços'!$B$21:$B$92,'Fator R'!$B17),0)+IFERROR(SUMIFS('Anexo V - Serviços'!$C$21:$C$92,'Anexo V - Serviços'!$B$21:$B$92,'Fator R'!$B17),0)</f>
        <v>0</v>
      </c>
      <c r="D17" s="95"/>
      <c r="E17" s="107" t="str">
        <f>IF('Fator R'!$D17="","",IFERROR((SUMIFS('Fator R'!$D$13:$D$84,'Fator R'!$B$13:$B$84,IF(MATCH('Fator R'!$B17,'Fator R'!$B$13:$B$84,0)=1,"=","&lt;")&amp;'Fator R'!$B17,'Fator R'!$B$13:$B$84,"&gt;="&amp;IF(MATCH('Fator R'!$B17,'Fator R'!$B$13:$B$84,0)&lt;12,T_DtIni[DATA INICIAL],EDATE('Fator R'!$B17,-12)))/(IF(MATCH('Fator R'!$B17,'Fator R'!$B$13:$B$84,0)&gt;12,12,MATCH('Fator R'!$B17,'Fator R'!$B$13:$B$84,0)))*12)/(SUMIFS('Fator R'!$C$13:$C$84,'Fator R'!$B$13:$B$84,IF(MATCH('Fator R'!$B17,'Fator R'!$B$13:$B$84,0)=1,"=","&lt;")&amp;'Fator R'!$B17,'Fator R'!$B$13:$B$84,"&gt;="&amp;IF(MATCH('Fator R'!$B17,'Fator R'!$B$13:$B$84,0)&lt;12,T_DtIni[DATA INICIAL],EDATE('Fator R'!$B17,-12)))/(IF(MATCH('Fator R'!$B17,'Fator R'!$B$13:$B$84,0)&gt;12,12,MATCH('Fator R'!$B17,'Fator R'!$B$13:$B$84,0)))*12),0))</f>
        <v/>
      </c>
      <c r="F17" s="108" t="str">
        <f>IF('Fator R'!$D17="","",IF('Fator R'!$E17&gt;=T_BaseFatorR[FATOR R],"Anexo III","Anexo V"))</f>
        <v/>
      </c>
    </row>
    <row r="18" spans="2:6" ht="15.6" x14ac:dyDescent="0.3">
      <c r="B18" s="105">
        <f>EDATE(T_DtIni[DATA INICIAL],ROW()-ROW('Fator R'!$B$12)-1)</f>
        <v>42887</v>
      </c>
      <c r="C18" s="106">
        <f>IFERROR(SUMIFS('Anexo I - Comércio'!$C$21:$C$92,'Anexo I - Comércio'!$B$21:$B$92,'Fator R'!$B18),0)+IFERROR(SUMIFS('Anexo II - Indústria'!$C$21:$C$92,'Anexo II - Indústria'!$B$21:$B$92,'Fator R'!$B18),0)+IFERROR(SUMIFS('Anexo III - Serviços'!$C$21:$C$92,'Anexo III - Serviços'!$B$21:$B$92,'Fator R'!$B18),0)+IFERROR(SUMIFS('Anexo IV - Serviços'!$C$21:$C$92,'Anexo IV - Serviços'!$B$21:$B$92,'Fator R'!$B18),0)+IFERROR(SUMIFS('Anexo V - Serviços'!$C$21:$C$92,'Anexo V - Serviços'!$B$21:$B$92,'Fator R'!$B18),0)</f>
        <v>0</v>
      </c>
      <c r="D18" s="95"/>
      <c r="E18" s="107" t="str">
        <f>IF('Fator R'!$D18="","",IFERROR((SUMIFS('Fator R'!$D$13:$D$84,'Fator R'!$B$13:$B$84,IF(MATCH('Fator R'!$B18,'Fator R'!$B$13:$B$84,0)=1,"=","&lt;")&amp;'Fator R'!$B18,'Fator R'!$B$13:$B$84,"&gt;="&amp;IF(MATCH('Fator R'!$B18,'Fator R'!$B$13:$B$84,0)&lt;12,T_DtIni[DATA INICIAL],EDATE('Fator R'!$B18,-12)))/(IF(MATCH('Fator R'!$B18,'Fator R'!$B$13:$B$84,0)&gt;12,12,MATCH('Fator R'!$B18,'Fator R'!$B$13:$B$84,0)))*12)/(SUMIFS('Fator R'!$C$13:$C$84,'Fator R'!$B$13:$B$84,IF(MATCH('Fator R'!$B18,'Fator R'!$B$13:$B$84,0)=1,"=","&lt;")&amp;'Fator R'!$B18,'Fator R'!$B$13:$B$84,"&gt;="&amp;IF(MATCH('Fator R'!$B18,'Fator R'!$B$13:$B$84,0)&lt;12,T_DtIni[DATA INICIAL],EDATE('Fator R'!$B18,-12)))/(IF(MATCH('Fator R'!$B18,'Fator R'!$B$13:$B$84,0)&gt;12,12,MATCH('Fator R'!$B18,'Fator R'!$B$13:$B$84,0)))*12),0))</f>
        <v/>
      </c>
      <c r="F18" s="108" t="str">
        <f>IF('Fator R'!$D18="","",IF('Fator R'!$E18&gt;=T_BaseFatorR[FATOR R],"Anexo III","Anexo V"))</f>
        <v/>
      </c>
    </row>
    <row r="19" spans="2:6" ht="15.6" x14ac:dyDescent="0.3">
      <c r="B19" s="105">
        <f>EDATE(T_DtIni[DATA INICIAL],ROW()-ROW('Fator R'!$B$12)-1)</f>
        <v>42917</v>
      </c>
      <c r="C19" s="106">
        <f>IFERROR(SUMIFS('Anexo I - Comércio'!$C$21:$C$92,'Anexo I - Comércio'!$B$21:$B$92,'Fator R'!$B19),0)+IFERROR(SUMIFS('Anexo II - Indústria'!$C$21:$C$92,'Anexo II - Indústria'!$B$21:$B$92,'Fator R'!$B19),0)+IFERROR(SUMIFS('Anexo III - Serviços'!$C$21:$C$92,'Anexo III - Serviços'!$B$21:$B$92,'Fator R'!$B19),0)+IFERROR(SUMIFS('Anexo IV - Serviços'!$C$21:$C$92,'Anexo IV - Serviços'!$B$21:$B$92,'Fator R'!$B19),0)+IFERROR(SUMIFS('Anexo V - Serviços'!$C$21:$C$92,'Anexo V - Serviços'!$B$21:$B$92,'Fator R'!$B19),0)</f>
        <v>0</v>
      </c>
      <c r="D19" s="95"/>
      <c r="E19" s="107" t="str">
        <f>IF('Fator R'!$D19="","",IFERROR((SUMIFS('Fator R'!$D$13:$D$84,'Fator R'!$B$13:$B$84,IF(MATCH('Fator R'!$B19,'Fator R'!$B$13:$B$84,0)=1,"=","&lt;")&amp;'Fator R'!$B19,'Fator R'!$B$13:$B$84,"&gt;="&amp;IF(MATCH('Fator R'!$B19,'Fator R'!$B$13:$B$84,0)&lt;12,T_DtIni[DATA INICIAL],EDATE('Fator R'!$B19,-12)))/(IF(MATCH('Fator R'!$B19,'Fator R'!$B$13:$B$84,0)&gt;12,12,MATCH('Fator R'!$B19,'Fator R'!$B$13:$B$84,0)))*12)/(SUMIFS('Fator R'!$C$13:$C$84,'Fator R'!$B$13:$B$84,IF(MATCH('Fator R'!$B19,'Fator R'!$B$13:$B$84,0)=1,"=","&lt;")&amp;'Fator R'!$B19,'Fator R'!$B$13:$B$84,"&gt;="&amp;IF(MATCH('Fator R'!$B19,'Fator R'!$B$13:$B$84,0)&lt;12,T_DtIni[DATA INICIAL],EDATE('Fator R'!$B19,-12)))/(IF(MATCH('Fator R'!$B19,'Fator R'!$B$13:$B$84,0)&gt;12,12,MATCH('Fator R'!$B19,'Fator R'!$B$13:$B$84,0)))*12),0))</f>
        <v/>
      </c>
      <c r="F19" s="108" t="str">
        <f>IF('Fator R'!$D19="","",IF('Fator R'!$E19&gt;=T_BaseFatorR[FATOR R],"Anexo III","Anexo V"))</f>
        <v/>
      </c>
    </row>
    <row r="20" spans="2:6" ht="15.6" x14ac:dyDescent="0.3">
      <c r="B20" s="105">
        <f>EDATE(T_DtIni[DATA INICIAL],ROW()-ROW('Fator R'!$B$12)-1)</f>
        <v>42948</v>
      </c>
      <c r="C20" s="106">
        <f>IFERROR(SUMIFS('Anexo I - Comércio'!$C$21:$C$92,'Anexo I - Comércio'!$B$21:$B$92,'Fator R'!$B20),0)+IFERROR(SUMIFS('Anexo II - Indústria'!$C$21:$C$92,'Anexo II - Indústria'!$B$21:$B$92,'Fator R'!$B20),0)+IFERROR(SUMIFS('Anexo III - Serviços'!$C$21:$C$92,'Anexo III - Serviços'!$B$21:$B$92,'Fator R'!$B20),0)+IFERROR(SUMIFS('Anexo IV - Serviços'!$C$21:$C$92,'Anexo IV - Serviços'!$B$21:$B$92,'Fator R'!$B20),0)+IFERROR(SUMIFS('Anexo V - Serviços'!$C$21:$C$92,'Anexo V - Serviços'!$B$21:$B$92,'Fator R'!$B20),0)</f>
        <v>0</v>
      </c>
      <c r="D20" s="95"/>
      <c r="E20" s="107" t="str">
        <f>IF('Fator R'!$D20="","",IFERROR((SUMIFS('Fator R'!$D$13:$D$84,'Fator R'!$B$13:$B$84,IF(MATCH('Fator R'!$B20,'Fator R'!$B$13:$B$84,0)=1,"=","&lt;")&amp;'Fator R'!$B20,'Fator R'!$B$13:$B$84,"&gt;="&amp;IF(MATCH('Fator R'!$B20,'Fator R'!$B$13:$B$84,0)&lt;12,T_DtIni[DATA INICIAL],EDATE('Fator R'!$B20,-12)))/(IF(MATCH('Fator R'!$B20,'Fator R'!$B$13:$B$84,0)&gt;12,12,MATCH('Fator R'!$B20,'Fator R'!$B$13:$B$84,0)))*12)/(SUMIFS('Fator R'!$C$13:$C$84,'Fator R'!$B$13:$B$84,IF(MATCH('Fator R'!$B20,'Fator R'!$B$13:$B$84,0)=1,"=","&lt;")&amp;'Fator R'!$B20,'Fator R'!$B$13:$B$84,"&gt;="&amp;IF(MATCH('Fator R'!$B20,'Fator R'!$B$13:$B$84,0)&lt;12,T_DtIni[DATA INICIAL],EDATE('Fator R'!$B20,-12)))/(IF(MATCH('Fator R'!$B20,'Fator R'!$B$13:$B$84,0)&gt;12,12,MATCH('Fator R'!$B20,'Fator R'!$B$13:$B$84,0)))*12),0))</f>
        <v/>
      </c>
      <c r="F20" s="108" t="str">
        <f>IF('Fator R'!$D20="","",IF('Fator R'!$E20&gt;=T_BaseFatorR[FATOR R],"Anexo III","Anexo V"))</f>
        <v/>
      </c>
    </row>
    <row r="21" spans="2:6" ht="15.6" x14ac:dyDescent="0.3">
      <c r="B21" s="105">
        <f>EDATE(T_DtIni[DATA INICIAL],ROW()-ROW('Fator R'!$B$12)-1)</f>
        <v>42979</v>
      </c>
      <c r="C21" s="106">
        <f>IFERROR(SUMIFS('Anexo I - Comércio'!$C$21:$C$92,'Anexo I - Comércio'!$B$21:$B$92,'Fator R'!$B21),0)+IFERROR(SUMIFS('Anexo II - Indústria'!$C$21:$C$92,'Anexo II - Indústria'!$B$21:$B$92,'Fator R'!$B21),0)+IFERROR(SUMIFS('Anexo III - Serviços'!$C$21:$C$92,'Anexo III - Serviços'!$B$21:$B$92,'Fator R'!$B21),0)+IFERROR(SUMIFS('Anexo IV - Serviços'!$C$21:$C$92,'Anexo IV - Serviços'!$B$21:$B$92,'Fator R'!$B21),0)+IFERROR(SUMIFS('Anexo V - Serviços'!$C$21:$C$92,'Anexo V - Serviços'!$B$21:$B$92,'Fator R'!$B21),0)</f>
        <v>0</v>
      </c>
      <c r="D21" s="95"/>
      <c r="E21" s="107" t="str">
        <f>IF('Fator R'!$D21="","",IFERROR((SUMIFS('Fator R'!$D$13:$D$84,'Fator R'!$B$13:$B$84,IF(MATCH('Fator R'!$B21,'Fator R'!$B$13:$B$84,0)=1,"=","&lt;")&amp;'Fator R'!$B21,'Fator R'!$B$13:$B$84,"&gt;="&amp;IF(MATCH('Fator R'!$B21,'Fator R'!$B$13:$B$84,0)&lt;12,T_DtIni[DATA INICIAL],EDATE('Fator R'!$B21,-12)))/(IF(MATCH('Fator R'!$B21,'Fator R'!$B$13:$B$84,0)&gt;12,12,MATCH('Fator R'!$B21,'Fator R'!$B$13:$B$84,0)))*12)/(SUMIFS('Fator R'!$C$13:$C$84,'Fator R'!$B$13:$B$84,IF(MATCH('Fator R'!$B21,'Fator R'!$B$13:$B$84,0)=1,"=","&lt;")&amp;'Fator R'!$B21,'Fator R'!$B$13:$B$84,"&gt;="&amp;IF(MATCH('Fator R'!$B21,'Fator R'!$B$13:$B$84,0)&lt;12,T_DtIni[DATA INICIAL],EDATE('Fator R'!$B21,-12)))/(IF(MATCH('Fator R'!$B21,'Fator R'!$B$13:$B$84,0)&gt;12,12,MATCH('Fator R'!$B21,'Fator R'!$B$13:$B$84,0)))*12),0))</f>
        <v/>
      </c>
      <c r="F21" s="108" t="str">
        <f>IF('Fator R'!$D21="","",IF('Fator R'!$E21&gt;=T_BaseFatorR[FATOR R],"Anexo III","Anexo V"))</f>
        <v/>
      </c>
    </row>
    <row r="22" spans="2:6" ht="15.6" x14ac:dyDescent="0.3">
      <c r="B22" s="105">
        <f>EDATE(T_DtIni[DATA INICIAL],ROW()-ROW('Fator R'!$B$12)-1)</f>
        <v>43009</v>
      </c>
      <c r="C22" s="106">
        <f>IFERROR(SUMIFS('Anexo I - Comércio'!$C$21:$C$92,'Anexo I - Comércio'!$B$21:$B$92,'Fator R'!$B22),0)+IFERROR(SUMIFS('Anexo II - Indústria'!$C$21:$C$92,'Anexo II - Indústria'!$B$21:$B$92,'Fator R'!$B22),0)+IFERROR(SUMIFS('Anexo III - Serviços'!$C$21:$C$92,'Anexo III - Serviços'!$B$21:$B$92,'Fator R'!$B22),0)+IFERROR(SUMIFS('Anexo IV - Serviços'!$C$21:$C$92,'Anexo IV - Serviços'!$B$21:$B$92,'Fator R'!$B22),0)+IFERROR(SUMIFS('Anexo V - Serviços'!$C$21:$C$92,'Anexo V - Serviços'!$B$21:$B$92,'Fator R'!$B22),0)</f>
        <v>0</v>
      </c>
      <c r="D22" s="95"/>
      <c r="E22" s="107" t="str">
        <f>IF('Fator R'!$D22="","",IFERROR((SUMIFS('Fator R'!$D$13:$D$84,'Fator R'!$B$13:$B$84,IF(MATCH('Fator R'!$B22,'Fator R'!$B$13:$B$84,0)=1,"=","&lt;")&amp;'Fator R'!$B22,'Fator R'!$B$13:$B$84,"&gt;="&amp;IF(MATCH('Fator R'!$B22,'Fator R'!$B$13:$B$84,0)&lt;12,T_DtIni[DATA INICIAL],EDATE('Fator R'!$B22,-12)))/(IF(MATCH('Fator R'!$B22,'Fator R'!$B$13:$B$84,0)&gt;12,12,MATCH('Fator R'!$B22,'Fator R'!$B$13:$B$84,0)))*12)/(SUMIFS('Fator R'!$C$13:$C$84,'Fator R'!$B$13:$B$84,IF(MATCH('Fator R'!$B22,'Fator R'!$B$13:$B$84,0)=1,"=","&lt;")&amp;'Fator R'!$B22,'Fator R'!$B$13:$B$84,"&gt;="&amp;IF(MATCH('Fator R'!$B22,'Fator R'!$B$13:$B$84,0)&lt;12,T_DtIni[DATA INICIAL],EDATE('Fator R'!$B22,-12)))/(IF(MATCH('Fator R'!$B22,'Fator R'!$B$13:$B$84,0)&gt;12,12,MATCH('Fator R'!$B22,'Fator R'!$B$13:$B$84,0)))*12),0))</f>
        <v/>
      </c>
      <c r="F22" s="108" t="str">
        <f>IF('Fator R'!$D22="","",IF('Fator R'!$E22&gt;=T_BaseFatorR[FATOR R],"Anexo III","Anexo V"))</f>
        <v/>
      </c>
    </row>
    <row r="23" spans="2:6" ht="15.6" x14ac:dyDescent="0.3">
      <c r="B23" s="105">
        <f>EDATE(T_DtIni[DATA INICIAL],ROW()-ROW('Fator R'!$B$12)-1)</f>
        <v>43040</v>
      </c>
      <c r="C23" s="106">
        <f>IFERROR(SUMIFS('Anexo I - Comércio'!$C$21:$C$92,'Anexo I - Comércio'!$B$21:$B$92,'Fator R'!$B23),0)+IFERROR(SUMIFS('Anexo II - Indústria'!$C$21:$C$92,'Anexo II - Indústria'!$B$21:$B$92,'Fator R'!$B23),0)+IFERROR(SUMIFS('Anexo III - Serviços'!$C$21:$C$92,'Anexo III - Serviços'!$B$21:$B$92,'Fator R'!$B23),0)+IFERROR(SUMIFS('Anexo IV - Serviços'!$C$21:$C$92,'Anexo IV - Serviços'!$B$21:$B$92,'Fator R'!$B23),0)+IFERROR(SUMIFS('Anexo V - Serviços'!$C$21:$C$92,'Anexo V - Serviços'!$B$21:$B$92,'Fator R'!$B23),0)</f>
        <v>0</v>
      </c>
      <c r="D23" s="95"/>
      <c r="E23" s="107" t="str">
        <f>IF('Fator R'!$D23="","",IFERROR((SUMIFS('Fator R'!$D$13:$D$84,'Fator R'!$B$13:$B$84,IF(MATCH('Fator R'!$B23,'Fator R'!$B$13:$B$84,0)=1,"=","&lt;")&amp;'Fator R'!$B23,'Fator R'!$B$13:$B$84,"&gt;="&amp;IF(MATCH('Fator R'!$B23,'Fator R'!$B$13:$B$84,0)&lt;12,T_DtIni[DATA INICIAL],EDATE('Fator R'!$B23,-12)))/(IF(MATCH('Fator R'!$B23,'Fator R'!$B$13:$B$84,0)&gt;12,12,MATCH('Fator R'!$B23,'Fator R'!$B$13:$B$84,0)))*12)/(SUMIFS('Fator R'!$C$13:$C$84,'Fator R'!$B$13:$B$84,IF(MATCH('Fator R'!$B23,'Fator R'!$B$13:$B$84,0)=1,"=","&lt;")&amp;'Fator R'!$B23,'Fator R'!$B$13:$B$84,"&gt;="&amp;IF(MATCH('Fator R'!$B23,'Fator R'!$B$13:$B$84,0)&lt;12,T_DtIni[DATA INICIAL],EDATE('Fator R'!$B23,-12)))/(IF(MATCH('Fator R'!$B23,'Fator R'!$B$13:$B$84,0)&gt;12,12,MATCH('Fator R'!$B23,'Fator R'!$B$13:$B$84,0)))*12),0))</f>
        <v/>
      </c>
      <c r="F23" s="108" t="str">
        <f>IF('Fator R'!$D23="","",IF('Fator R'!$E23&gt;=T_BaseFatorR[FATOR R],"Anexo III","Anexo V"))</f>
        <v/>
      </c>
    </row>
    <row r="24" spans="2:6" ht="15.6" x14ac:dyDescent="0.3">
      <c r="B24" s="105">
        <f>EDATE(T_DtIni[DATA INICIAL],ROW()-ROW('Fator R'!$B$12)-1)</f>
        <v>43070</v>
      </c>
      <c r="C24" s="106">
        <f>IFERROR(SUMIFS('Anexo I - Comércio'!$C$21:$C$92,'Anexo I - Comércio'!$B$21:$B$92,'Fator R'!$B24),0)+IFERROR(SUMIFS('Anexo II - Indústria'!$C$21:$C$92,'Anexo II - Indústria'!$B$21:$B$92,'Fator R'!$B24),0)+IFERROR(SUMIFS('Anexo III - Serviços'!$C$21:$C$92,'Anexo III - Serviços'!$B$21:$B$92,'Fator R'!$B24),0)+IFERROR(SUMIFS('Anexo IV - Serviços'!$C$21:$C$92,'Anexo IV - Serviços'!$B$21:$B$92,'Fator R'!$B24),0)+IFERROR(SUMIFS('Anexo V - Serviços'!$C$21:$C$92,'Anexo V - Serviços'!$B$21:$B$92,'Fator R'!$B24),0)</f>
        <v>0</v>
      </c>
      <c r="D24" s="95"/>
      <c r="E24" s="107" t="str">
        <f>IF('Fator R'!$D24="","",IFERROR((SUMIFS('Fator R'!$D$13:$D$84,'Fator R'!$B$13:$B$84,IF(MATCH('Fator R'!$B24,'Fator R'!$B$13:$B$84,0)=1,"=","&lt;")&amp;'Fator R'!$B24,'Fator R'!$B$13:$B$84,"&gt;="&amp;IF(MATCH('Fator R'!$B24,'Fator R'!$B$13:$B$84,0)&lt;12,T_DtIni[DATA INICIAL],EDATE('Fator R'!$B24,-12)))/(IF(MATCH('Fator R'!$B24,'Fator R'!$B$13:$B$84,0)&gt;12,12,MATCH('Fator R'!$B24,'Fator R'!$B$13:$B$84,0)))*12)/(SUMIFS('Fator R'!$C$13:$C$84,'Fator R'!$B$13:$B$84,IF(MATCH('Fator R'!$B24,'Fator R'!$B$13:$B$84,0)=1,"=","&lt;")&amp;'Fator R'!$B24,'Fator R'!$B$13:$B$84,"&gt;="&amp;IF(MATCH('Fator R'!$B24,'Fator R'!$B$13:$B$84,0)&lt;12,T_DtIni[DATA INICIAL],EDATE('Fator R'!$B24,-12)))/(IF(MATCH('Fator R'!$B24,'Fator R'!$B$13:$B$84,0)&gt;12,12,MATCH('Fator R'!$B24,'Fator R'!$B$13:$B$84,0)))*12),0))</f>
        <v/>
      </c>
      <c r="F24" s="108" t="str">
        <f>IF('Fator R'!$D24="","",IF('Fator R'!$E24&gt;=T_BaseFatorR[FATOR R],"Anexo III","Anexo V"))</f>
        <v/>
      </c>
    </row>
    <row r="25" spans="2:6" ht="15.6" x14ac:dyDescent="0.3">
      <c r="B25" s="105">
        <f>EDATE(T_DtIni[DATA INICIAL],ROW()-ROW('Fator R'!$B$12)-1)</f>
        <v>43101</v>
      </c>
      <c r="C25" s="106">
        <f>IFERROR(SUMIFS('Anexo I - Comércio'!$C$21:$C$92,'Anexo I - Comércio'!$B$21:$B$92,'Fator R'!$B25),0)+IFERROR(SUMIFS('Anexo II - Indústria'!$C$21:$C$92,'Anexo II - Indústria'!$B$21:$B$92,'Fator R'!$B25),0)+IFERROR(SUMIFS('Anexo III - Serviços'!$C$21:$C$92,'Anexo III - Serviços'!$B$21:$B$92,'Fator R'!$B25),0)+IFERROR(SUMIFS('Anexo IV - Serviços'!$C$21:$C$92,'Anexo IV - Serviços'!$B$21:$B$92,'Fator R'!$B25),0)+IFERROR(SUMIFS('Anexo V - Serviços'!$C$21:$C$92,'Anexo V - Serviços'!$B$21:$B$92,'Fator R'!$B25),0)</f>
        <v>0</v>
      </c>
      <c r="D25" s="95"/>
      <c r="E25" s="107" t="str">
        <f>IF('Fator R'!$D25="","",IFERROR((SUMIFS('Fator R'!$D$13:$D$84,'Fator R'!$B$13:$B$84,IF(MATCH('Fator R'!$B25,'Fator R'!$B$13:$B$84,0)=1,"=","&lt;")&amp;'Fator R'!$B25,'Fator R'!$B$13:$B$84,"&gt;="&amp;IF(MATCH('Fator R'!$B25,'Fator R'!$B$13:$B$84,0)&lt;12,T_DtIni[DATA INICIAL],EDATE('Fator R'!$B25,-12)))/(IF(MATCH('Fator R'!$B25,'Fator R'!$B$13:$B$84,0)&gt;12,12,MATCH('Fator R'!$B25,'Fator R'!$B$13:$B$84,0)))*12)/(SUMIFS('Fator R'!$C$13:$C$84,'Fator R'!$B$13:$B$84,IF(MATCH('Fator R'!$B25,'Fator R'!$B$13:$B$84,0)=1,"=","&lt;")&amp;'Fator R'!$B25,'Fator R'!$B$13:$B$84,"&gt;="&amp;IF(MATCH('Fator R'!$B25,'Fator R'!$B$13:$B$84,0)&lt;12,T_DtIni[DATA INICIAL],EDATE('Fator R'!$B25,-12)))/(IF(MATCH('Fator R'!$B25,'Fator R'!$B$13:$B$84,0)&gt;12,12,MATCH('Fator R'!$B25,'Fator R'!$B$13:$B$84,0)))*12),0))</f>
        <v/>
      </c>
      <c r="F25" s="108" t="str">
        <f>IF('Fator R'!$D25="","",IF('Fator R'!$E25&gt;=T_BaseFatorR[FATOR R],"Anexo III","Anexo V"))</f>
        <v/>
      </c>
    </row>
    <row r="26" spans="2:6" ht="15.6" x14ac:dyDescent="0.3">
      <c r="B26" s="105">
        <f>EDATE(T_DtIni[DATA INICIAL],ROW()-ROW('Fator R'!$B$12)-1)</f>
        <v>43132</v>
      </c>
      <c r="C26" s="106">
        <f>IFERROR(SUMIFS('Anexo I - Comércio'!$C$21:$C$92,'Anexo I - Comércio'!$B$21:$B$92,'Fator R'!$B26),0)+IFERROR(SUMIFS('Anexo II - Indústria'!$C$21:$C$92,'Anexo II - Indústria'!$B$21:$B$92,'Fator R'!$B26),0)+IFERROR(SUMIFS('Anexo III - Serviços'!$C$21:$C$92,'Anexo III - Serviços'!$B$21:$B$92,'Fator R'!$B26),0)+IFERROR(SUMIFS('Anexo IV - Serviços'!$C$21:$C$92,'Anexo IV - Serviços'!$B$21:$B$92,'Fator R'!$B26),0)+IFERROR(SUMIFS('Anexo V - Serviços'!$C$21:$C$92,'Anexo V - Serviços'!$B$21:$B$92,'Fator R'!$B26),0)</f>
        <v>0</v>
      </c>
      <c r="D26" s="95"/>
      <c r="E26" s="107" t="str">
        <f>IF('Fator R'!$D26="","",IFERROR((SUMIFS('Fator R'!$D$13:$D$84,'Fator R'!$B$13:$B$84,IF(MATCH('Fator R'!$B26,'Fator R'!$B$13:$B$84,0)=1,"=","&lt;")&amp;'Fator R'!$B26,'Fator R'!$B$13:$B$84,"&gt;="&amp;IF(MATCH('Fator R'!$B26,'Fator R'!$B$13:$B$84,0)&lt;12,T_DtIni[DATA INICIAL],EDATE('Fator R'!$B26,-12)))/(IF(MATCH('Fator R'!$B26,'Fator R'!$B$13:$B$84,0)&gt;12,12,MATCH('Fator R'!$B26,'Fator R'!$B$13:$B$84,0)))*12)/(SUMIFS('Fator R'!$C$13:$C$84,'Fator R'!$B$13:$B$84,IF(MATCH('Fator R'!$B26,'Fator R'!$B$13:$B$84,0)=1,"=","&lt;")&amp;'Fator R'!$B26,'Fator R'!$B$13:$B$84,"&gt;="&amp;IF(MATCH('Fator R'!$B26,'Fator R'!$B$13:$B$84,0)&lt;12,T_DtIni[DATA INICIAL],EDATE('Fator R'!$B26,-12)))/(IF(MATCH('Fator R'!$B26,'Fator R'!$B$13:$B$84,0)&gt;12,12,MATCH('Fator R'!$B26,'Fator R'!$B$13:$B$84,0)))*12),0))</f>
        <v/>
      </c>
      <c r="F26" s="108" t="str">
        <f>IF('Fator R'!$D26="","",IF('Fator R'!$E26&gt;=T_BaseFatorR[FATOR R],"Anexo III","Anexo V"))</f>
        <v/>
      </c>
    </row>
    <row r="27" spans="2:6" ht="15.6" x14ac:dyDescent="0.3">
      <c r="B27" s="105">
        <f>EDATE(T_DtIni[DATA INICIAL],ROW()-ROW('Fator R'!$B$12)-1)</f>
        <v>43160</v>
      </c>
      <c r="C27" s="106">
        <f>IFERROR(SUMIFS('Anexo I - Comércio'!$C$21:$C$92,'Anexo I - Comércio'!$B$21:$B$92,'Fator R'!$B27),0)+IFERROR(SUMIFS('Anexo II - Indústria'!$C$21:$C$92,'Anexo II - Indústria'!$B$21:$B$92,'Fator R'!$B27),0)+IFERROR(SUMIFS('Anexo III - Serviços'!$C$21:$C$92,'Anexo III - Serviços'!$B$21:$B$92,'Fator R'!$B27),0)+IFERROR(SUMIFS('Anexo IV - Serviços'!$C$21:$C$92,'Anexo IV - Serviços'!$B$21:$B$92,'Fator R'!$B27),0)+IFERROR(SUMIFS('Anexo V - Serviços'!$C$21:$C$92,'Anexo V - Serviços'!$B$21:$B$92,'Fator R'!$B27),0)</f>
        <v>0</v>
      </c>
      <c r="D27" s="95"/>
      <c r="E27" s="107" t="str">
        <f>IF('Fator R'!$D27="","",IFERROR((SUMIFS('Fator R'!$D$13:$D$84,'Fator R'!$B$13:$B$84,IF(MATCH('Fator R'!$B27,'Fator R'!$B$13:$B$84,0)=1,"=","&lt;")&amp;'Fator R'!$B27,'Fator R'!$B$13:$B$84,"&gt;="&amp;IF(MATCH('Fator R'!$B27,'Fator R'!$B$13:$B$84,0)&lt;12,T_DtIni[DATA INICIAL],EDATE('Fator R'!$B27,-12)))/(IF(MATCH('Fator R'!$B27,'Fator R'!$B$13:$B$84,0)&gt;12,12,MATCH('Fator R'!$B27,'Fator R'!$B$13:$B$84,0)))*12)/(SUMIFS('Fator R'!$C$13:$C$84,'Fator R'!$B$13:$B$84,IF(MATCH('Fator R'!$B27,'Fator R'!$B$13:$B$84,0)=1,"=","&lt;")&amp;'Fator R'!$B27,'Fator R'!$B$13:$B$84,"&gt;="&amp;IF(MATCH('Fator R'!$B27,'Fator R'!$B$13:$B$84,0)&lt;12,T_DtIni[DATA INICIAL],EDATE('Fator R'!$B27,-12)))/(IF(MATCH('Fator R'!$B27,'Fator R'!$B$13:$B$84,0)&gt;12,12,MATCH('Fator R'!$B27,'Fator R'!$B$13:$B$84,0)))*12),0))</f>
        <v/>
      </c>
      <c r="F27" s="108" t="str">
        <f>IF('Fator R'!$D27="","",IF('Fator R'!$E27&gt;=T_BaseFatorR[FATOR R],"Anexo III","Anexo V"))</f>
        <v/>
      </c>
    </row>
    <row r="28" spans="2:6" ht="15.6" x14ac:dyDescent="0.3">
      <c r="B28" s="105">
        <f>EDATE(T_DtIni[DATA INICIAL],ROW()-ROW('Fator R'!$B$12)-1)</f>
        <v>43191</v>
      </c>
      <c r="C28" s="106">
        <f>IFERROR(SUMIFS('Anexo I - Comércio'!$C$21:$C$92,'Anexo I - Comércio'!$B$21:$B$92,'Fator R'!$B28),0)+IFERROR(SUMIFS('Anexo II - Indústria'!$C$21:$C$92,'Anexo II - Indústria'!$B$21:$B$92,'Fator R'!$B28),0)+IFERROR(SUMIFS('Anexo III - Serviços'!$C$21:$C$92,'Anexo III - Serviços'!$B$21:$B$92,'Fator R'!$B28),0)+IFERROR(SUMIFS('Anexo IV - Serviços'!$C$21:$C$92,'Anexo IV - Serviços'!$B$21:$B$92,'Fator R'!$B28),0)+IFERROR(SUMIFS('Anexo V - Serviços'!$C$21:$C$92,'Anexo V - Serviços'!$B$21:$B$92,'Fator R'!$B28),0)</f>
        <v>0</v>
      </c>
      <c r="D28" s="95"/>
      <c r="E28" s="107" t="str">
        <f>IF('Fator R'!$D28="","",IFERROR((SUMIFS('Fator R'!$D$13:$D$84,'Fator R'!$B$13:$B$84,IF(MATCH('Fator R'!$B28,'Fator R'!$B$13:$B$84,0)=1,"=","&lt;")&amp;'Fator R'!$B28,'Fator R'!$B$13:$B$84,"&gt;="&amp;IF(MATCH('Fator R'!$B28,'Fator R'!$B$13:$B$84,0)&lt;12,T_DtIni[DATA INICIAL],EDATE('Fator R'!$B28,-12)))/(IF(MATCH('Fator R'!$B28,'Fator R'!$B$13:$B$84,0)&gt;12,12,MATCH('Fator R'!$B28,'Fator R'!$B$13:$B$84,0)))*12)/(SUMIFS('Fator R'!$C$13:$C$84,'Fator R'!$B$13:$B$84,IF(MATCH('Fator R'!$B28,'Fator R'!$B$13:$B$84,0)=1,"=","&lt;")&amp;'Fator R'!$B28,'Fator R'!$B$13:$B$84,"&gt;="&amp;IF(MATCH('Fator R'!$B28,'Fator R'!$B$13:$B$84,0)&lt;12,T_DtIni[DATA INICIAL],EDATE('Fator R'!$B28,-12)))/(IF(MATCH('Fator R'!$B28,'Fator R'!$B$13:$B$84,0)&gt;12,12,MATCH('Fator R'!$B28,'Fator R'!$B$13:$B$84,0)))*12),0))</f>
        <v/>
      </c>
      <c r="F28" s="108" t="str">
        <f>IF('Fator R'!$D28="","",IF('Fator R'!$E28&gt;=T_BaseFatorR[FATOR R],"Anexo III","Anexo V"))</f>
        <v/>
      </c>
    </row>
    <row r="29" spans="2:6" ht="15.6" x14ac:dyDescent="0.3">
      <c r="B29" s="105">
        <f>EDATE(T_DtIni[DATA INICIAL],ROW()-ROW('Fator R'!$B$12)-1)</f>
        <v>43221</v>
      </c>
      <c r="C29" s="106">
        <f>IFERROR(SUMIFS('Anexo I - Comércio'!$C$21:$C$92,'Anexo I - Comércio'!$B$21:$B$92,'Fator R'!$B29),0)+IFERROR(SUMIFS('Anexo II - Indústria'!$C$21:$C$92,'Anexo II - Indústria'!$B$21:$B$92,'Fator R'!$B29),0)+IFERROR(SUMIFS('Anexo III - Serviços'!$C$21:$C$92,'Anexo III - Serviços'!$B$21:$B$92,'Fator R'!$B29),0)+IFERROR(SUMIFS('Anexo IV - Serviços'!$C$21:$C$92,'Anexo IV - Serviços'!$B$21:$B$92,'Fator R'!$B29),0)+IFERROR(SUMIFS('Anexo V - Serviços'!$C$21:$C$92,'Anexo V - Serviços'!$B$21:$B$92,'Fator R'!$B29),0)</f>
        <v>0</v>
      </c>
      <c r="D29" s="95"/>
      <c r="E29" s="107" t="str">
        <f>IF('Fator R'!$D29="","",IFERROR((SUMIFS('Fator R'!$D$13:$D$84,'Fator R'!$B$13:$B$84,IF(MATCH('Fator R'!$B29,'Fator R'!$B$13:$B$84,0)=1,"=","&lt;")&amp;'Fator R'!$B29,'Fator R'!$B$13:$B$84,"&gt;="&amp;IF(MATCH('Fator R'!$B29,'Fator R'!$B$13:$B$84,0)&lt;12,T_DtIni[DATA INICIAL],EDATE('Fator R'!$B29,-12)))/(IF(MATCH('Fator R'!$B29,'Fator R'!$B$13:$B$84,0)&gt;12,12,MATCH('Fator R'!$B29,'Fator R'!$B$13:$B$84,0)))*12)/(SUMIFS('Fator R'!$C$13:$C$84,'Fator R'!$B$13:$B$84,IF(MATCH('Fator R'!$B29,'Fator R'!$B$13:$B$84,0)=1,"=","&lt;")&amp;'Fator R'!$B29,'Fator R'!$B$13:$B$84,"&gt;="&amp;IF(MATCH('Fator R'!$B29,'Fator R'!$B$13:$B$84,0)&lt;12,T_DtIni[DATA INICIAL],EDATE('Fator R'!$B29,-12)))/(IF(MATCH('Fator R'!$B29,'Fator R'!$B$13:$B$84,0)&gt;12,12,MATCH('Fator R'!$B29,'Fator R'!$B$13:$B$84,0)))*12),0))</f>
        <v/>
      </c>
      <c r="F29" s="108" t="str">
        <f>IF('Fator R'!$D29="","",IF('Fator R'!$E29&gt;=T_BaseFatorR[FATOR R],"Anexo III","Anexo V"))</f>
        <v/>
      </c>
    </row>
    <row r="30" spans="2:6" ht="15.6" x14ac:dyDescent="0.3">
      <c r="B30" s="105">
        <f>EDATE(T_DtIni[DATA INICIAL],ROW()-ROW('Fator R'!$B$12)-1)</f>
        <v>43252</v>
      </c>
      <c r="C30" s="106">
        <f>IFERROR(SUMIFS('Anexo I - Comércio'!$C$21:$C$92,'Anexo I - Comércio'!$B$21:$B$92,'Fator R'!$B30),0)+IFERROR(SUMIFS('Anexo II - Indústria'!$C$21:$C$92,'Anexo II - Indústria'!$B$21:$B$92,'Fator R'!$B30),0)+IFERROR(SUMIFS('Anexo III - Serviços'!$C$21:$C$92,'Anexo III - Serviços'!$B$21:$B$92,'Fator R'!$B30),0)+IFERROR(SUMIFS('Anexo IV - Serviços'!$C$21:$C$92,'Anexo IV - Serviços'!$B$21:$B$92,'Fator R'!$B30),0)+IFERROR(SUMIFS('Anexo V - Serviços'!$C$21:$C$92,'Anexo V - Serviços'!$B$21:$B$92,'Fator R'!$B30),0)</f>
        <v>0</v>
      </c>
      <c r="D30" s="95"/>
      <c r="E30" s="107" t="str">
        <f>IF('Fator R'!$D30="","",IFERROR((SUMIFS('Fator R'!$D$13:$D$84,'Fator R'!$B$13:$B$84,IF(MATCH('Fator R'!$B30,'Fator R'!$B$13:$B$84,0)=1,"=","&lt;")&amp;'Fator R'!$B30,'Fator R'!$B$13:$B$84,"&gt;="&amp;IF(MATCH('Fator R'!$B30,'Fator R'!$B$13:$B$84,0)&lt;12,T_DtIni[DATA INICIAL],EDATE('Fator R'!$B30,-12)))/(IF(MATCH('Fator R'!$B30,'Fator R'!$B$13:$B$84,0)&gt;12,12,MATCH('Fator R'!$B30,'Fator R'!$B$13:$B$84,0)))*12)/(SUMIFS('Fator R'!$C$13:$C$84,'Fator R'!$B$13:$B$84,IF(MATCH('Fator R'!$B30,'Fator R'!$B$13:$B$84,0)=1,"=","&lt;")&amp;'Fator R'!$B30,'Fator R'!$B$13:$B$84,"&gt;="&amp;IF(MATCH('Fator R'!$B30,'Fator R'!$B$13:$B$84,0)&lt;12,T_DtIni[DATA INICIAL],EDATE('Fator R'!$B30,-12)))/(IF(MATCH('Fator R'!$B30,'Fator R'!$B$13:$B$84,0)&gt;12,12,MATCH('Fator R'!$B30,'Fator R'!$B$13:$B$84,0)))*12),0))</f>
        <v/>
      </c>
      <c r="F30" s="108" t="str">
        <f>IF('Fator R'!$D30="","",IF('Fator R'!$E30&gt;=T_BaseFatorR[FATOR R],"Anexo III","Anexo V"))</f>
        <v/>
      </c>
    </row>
    <row r="31" spans="2:6" ht="15.6" x14ac:dyDescent="0.3">
      <c r="B31" s="105">
        <f>EDATE(T_DtIni[DATA INICIAL],ROW()-ROW('Fator R'!$B$12)-1)</f>
        <v>43282</v>
      </c>
      <c r="C31" s="106">
        <f>IFERROR(SUMIFS('Anexo I - Comércio'!$C$21:$C$92,'Anexo I - Comércio'!$B$21:$B$92,'Fator R'!$B31),0)+IFERROR(SUMIFS('Anexo II - Indústria'!$C$21:$C$92,'Anexo II - Indústria'!$B$21:$B$92,'Fator R'!$B31),0)+IFERROR(SUMIFS('Anexo III - Serviços'!$C$21:$C$92,'Anexo III - Serviços'!$B$21:$B$92,'Fator R'!$B31),0)+IFERROR(SUMIFS('Anexo IV - Serviços'!$C$21:$C$92,'Anexo IV - Serviços'!$B$21:$B$92,'Fator R'!$B31),0)+IFERROR(SUMIFS('Anexo V - Serviços'!$C$21:$C$92,'Anexo V - Serviços'!$B$21:$B$92,'Fator R'!$B31),0)</f>
        <v>0</v>
      </c>
      <c r="D31" s="95"/>
      <c r="E31" s="107" t="str">
        <f>IF('Fator R'!$D31="","",IFERROR((SUMIFS('Fator R'!$D$13:$D$84,'Fator R'!$B$13:$B$84,IF(MATCH('Fator R'!$B31,'Fator R'!$B$13:$B$84,0)=1,"=","&lt;")&amp;'Fator R'!$B31,'Fator R'!$B$13:$B$84,"&gt;="&amp;IF(MATCH('Fator R'!$B31,'Fator R'!$B$13:$B$84,0)&lt;12,T_DtIni[DATA INICIAL],EDATE('Fator R'!$B31,-12)))/(IF(MATCH('Fator R'!$B31,'Fator R'!$B$13:$B$84,0)&gt;12,12,MATCH('Fator R'!$B31,'Fator R'!$B$13:$B$84,0)))*12)/(SUMIFS('Fator R'!$C$13:$C$84,'Fator R'!$B$13:$B$84,IF(MATCH('Fator R'!$B31,'Fator R'!$B$13:$B$84,0)=1,"=","&lt;")&amp;'Fator R'!$B31,'Fator R'!$B$13:$B$84,"&gt;="&amp;IF(MATCH('Fator R'!$B31,'Fator R'!$B$13:$B$84,0)&lt;12,T_DtIni[DATA INICIAL],EDATE('Fator R'!$B31,-12)))/(IF(MATCH('Fator R'!$B31,'Fator R'!$B$13:$B$84,0)&gt;12,12,MATCH('Fator R'!$B31,'Fator R'!$B$13:$B$84,0)))*12),0))</f>
        <v/>
      </c>
      <c r="F31" s="108" t="str">
        <f>IF('Fator R'!$D31="","",IF('Fator R'!$E31&gt;=T_BaseFatorR[FATOR R],"Anexo III","Anexo V"))</f>
        <v/>
      </c>
    </row>
    <row r="32" spans="2:6" ht="15.6" x14ac:dyDescent="0.3">
      <c r="B32" s="105">
        <f>EDATE(T_DtIni[DATA INICIAL],ROW()-ROW('Fator R'!$B$12)-1)</f>
        <v>43313</v>
      </c>
      <c r="C32" s="106">
        <f>IFERROR(SUMIFS('Anexo I - Comércio'!$C$21:$C$92,'Anexo I - Comércio'!$B$21:$B$92,'Fator R'!$B32),0)+IFERROR(SUMIFS('Anexo II - Indústria'!$C$21:$C$92,'Anexo II - Indústria'!$B$21:$B$92,'Fator R'!$B32),0)+IFERROR(SUMIFS('Anexo III - Serviços'!$C$21:$C$92,'Anexo III - Serviços'!$B$21:$B$92,'Fator R'!$B32),0)+IFERROR(SUMIFS('Anexo IV - Serviços'!$C$21:$C$92,'Anexo IV - Serviços'!$B$21:$B$92,'Fator R'!$B32),0)+IFERROR(SUMIFS('Anexo V - Serviços'!$C$21:$C$92,'Anexo V - Serviços'!$B$21:$B$92,'Fator R'!$B32),0)</f>
        <v>0</v>
      </c>
      <c r="D32" s="95"/>
      <c r="E32" s="107" t="str">
        <f>IF('Fator R'!$D32="","",IFERROR((SUMIFS('Fator R'!$D$13:$D$84,'Fator R'!$B$13:$B$84,IF(MATCH('Fator R'!$B32,'Fator R'!$B$13:$B$84,0)=1,"=","&lt;")&amp;'Fator R'!$B32,'Fator R'!$B$13:$B$84,"&gt;="&amp;IF(MATCH('Fator R'!$B32,'Fator R'!$B$13:$B$84,0)&lt;12,T_DtIni[DATA INICIAL],EDATE('Fator R'!$B32,-12)))/(IF(MATCH('Fator R'!$B32,'Fator R'!$B$13:$B$84,0)&gt;12,12,MATCH('Fator R'!$B32,'Fator R'!$B$13:$B$84,0)))*12)/(SUMIFS('Fator R'!$C$13:$C$84,'Fator R'!$B$13:$B$84,IF(MATCH('Fator R'!$B32,'Fator R'!$B$13:$B$84,0)=1,"=","&lt;")&amp;'Fator R'!$B32,'Fator R'!$B$13:$B$84,"&gt;="&amp;IF(MATCH('Fator R'!$B32,'Fator R'!$B$13:$B$84,0)&lt;12,T_DtIni[DATA INICIAL],EDATE('Fator R'!$B32,-12)))/(IF(MATCH('Fator R'!$B32,'Fator R'!$B$13:$B$84,0)&gt;12,12,MATCH('Fator R'!$B32,'Fator R'!$B$13:$B$84,0)))*12),0))</f>
        <v/>
      </c>
      <c r="F32" s="108" t="str">
        <f>IF('Fator R'!$D32="","",IF('Fator R'!$E32&gt;=T_BaseFatorR[FATOR R],"Anexo III","Anexo V"))</f>
        <v/>
      </c>
    </row>
    <row r="33" spans="2:6" ht="15.6" x14ac:dyDescent="0.3">
      <c r="B33" s="105">
        <f>EDATE(T_DtIni[DATA INICIAL],ROW()-ROW('Fator R'!$B$12)-1)</f>
        <v>43344</v>
      </c>
      <c r="C33" s="106">
        <f>IFERROR(SUMIFS('Anexo I - Comércio'!$C$21:$C$92,'Anexo I - Comércio'!$B$21:$B$92,'Fator R'!$B33),0)+IFERROR(SUMIFS('Anexo II - Indústria'!$C$21:$C$92,'Anexo II - Indústria'!$B$21:$B$92,'Fator R'!$B33),0)+IFERROR(SUMIFS('Anexo III - Serviços'!$C$21:$C$92,'Anexo III - Serviços'!$B$21:$B$92,'Fator R'!$B33),0)+IFERROR(SUMIFS('Anexo IV - Serviços'!$C$21:$C$92,'Anexo IV - Serviços'!$B$21:$B$92,'Fator R'!$B33),0)+IFERROR(SUMIFS('Anexo V - Serviços'!$C$21:$C$92,'Anexo V - Serviços'!$B$21:$B$92,'Fator R'!$B33),0)</f>
        <v>0</v>
      </c>
      <c r="D33" s="95"/>
      <c r="E33" s="107" t="str">
        <f>IF('Fator R'!$D33="","",IFERROR((SUMIFS('Fator R'!$D$13:$D$84,'Fator R'!$B$13:$B$84,IF(MATCH('Fator R'!$B33,'Fator R'!$B$13:$B$84,0)=1,"=","&lt;")&amp;'Fator R'!$B33,'Fator R'!$B$13:$B$84,"&gt;="&amp;IF(MATCH('Fator R'!$B33,'Fator R'!$B$13:$B$84,0)&lt;12,T_DtIni[DATA INICIAL],EDATE('Fator R'!$B33,-12)))/(IF(MATCH('Fator R'!$B33,'Fator R'!$B$13:$B$84,0)&gt;12,12,MATCH('Fator R'!$B33,'Fator R'!$B$13:$B$84,0)))*12)/(SUMIFS('Fator R'!$C$13:$C$84,'Fator R'!$B$13:$B$84,IF(MATCH('Fator R'!$B33,'Fator R'!$B$13:$B$84,0)=1,"=","&lt;")&amp;'Fator R'!$B33,'Fator R'!$B$13:$B$84,"&gt;="&amp;IF(MATCH('Fator R'!$B33,'Fator R'!$B$13:$B$84,0)&lt;12,T_DtIni[DATA INICIAL],EDATE('Fator R'!$B33,-12)))/(IF(MATCH('Fator R'!$B33,'Fator R'!$B$13:$B$84,0)&gt;12,12,MATCH('Fator R'!$B33,'Fator R'!$B$13:$B$84,0)))*12),0))</f>
        <v/>
      </c>
      <c r="F33" s="108" t="str">
        <f>IF('Fator R'!$D33="","",IF('Fator R'!$E33&gt;=T_BaseFatorR[FATOR R],"Anexo III","Anexo V"))</f>
        <v/>
      </c>
    </row>
    <row r="34" spans="2:6" ht="15.6" x14ac:dyDescent="0.3">
      <c r="B34" s="105">
        <f>EDATE(T_DtIni[DATA INICIAL],ROW()-ROW('Fator R'!$B$12)-1)</f>
        <v>43374</v>
      </c>
      <c r="C34" s="106">
        <f>IFERROR(SUMIFS('Anexo I - Comércio'!$C$21:$C$92,'Anexo I - Comércio'!$B$21:$B$92,'Fator R'!$B34),0)+IFERROR(SUMIFS('Anexo II - Indústria'!$C$21:$C$92,'Anexo II - Indústria'!$B$21:$B$92,'Fator R'!$B34),0)+IFERROR(SUMIFS('Anexo III - Serviços'!$C$21:$C$92,'Anexo III - Serviços'!$B$21:$B$92,'Fator R'!$B34),0)+IFERROR(SUMIFS('Anexo IV - Serviços'!$C$21:$C$92,'Anexo IV - Serviços'!$B$21:$B$92,'Fator R'!$B34),0)+IFERROR(SUMIFS('Anexo V - Serviços'!$C$21:$C$92,'Anexo V - Serviços'!$B$21:$B$92,'Fator R'!$B34),0)</f>
        <v>0</v>
      </c>
      <c r="D34" s="95"/>
      <c r="E34" s="107" t="str">
        <f>IF('Fator R'!$D34="","",IFERROR((SUMIFS('Fator R'!$D$13:$D$84,'Fator R'!$B$13:$B$84,IF(MATCH('Fator R'!$B34,'Fator R'!$B$13:$B$84,0)=1,"=","&lt;")&amp;'Fator R'!$B34,'Fator R'!$B$13:$B$84,"&gt;="&amp;IF(MATCH('Fator R'!$B34,'Fator R'!$B$13:$B$84,0)&lt;12,T_DtIni[DATA INICIAL],EDATE('Fator R'!$B34,-12)))/(IF(MATCH('Fator R'!$B34,'Fator R'!$B$13:$B$84,0)&gt;12,12,MATCH('Fator R'!$B34,'Fator R'!$B$13:$B$84,0)))*12)/(SUMIFS('Fator R'!$C$13:$C$84,'Fator R'!$B$13:$B$84,IF(MATCH('Fator R'!$B34,'Fator R'!$B$13:$B$84,0)=1,"=","&lt;")&amp;'Fator R'!$B34,'Fator R'!$B$13:$B$84,"&gt;="&amp;IF(MATCH('Fator R'!$B34,'Fator R'!$B$13:$B$84,0)&lt;12,T_DtIni[DATA INICIAL],EDATE('Fator R'!$B34,-12)))/(IF(MATCH('Fator R'!$B34,'Fator R'!$B$13:$B$84,0)&gt;12,12,MATCH('Fator R'!$B34,'Fator R'!$B$13:$B$84,0)))*12),0))</f>
        <v/>
      </c>
      <c r="F34" s="108" t="str">
        <f>IF('Fator R'!$D34="","",IF('Fator R'!$E34&gt;=T_BaseFatorR[FATOR R],"Anexo III","Anexo V"))</f>
        <v/>
      </c>
    </row>
    <row r="35" spans="2:6" ht="15.6" x14ac:dyDescent="0.3">
      <c r="B35" s="105">
        <f>EDATE(T_DtIni[DATA INICIAL],ROW()-ROW('Fator R'!$B$12)-1)</f>
        <v>43405</v>
      </c>
      <c r="C35" s="106">
        <f>IFERROR(SUMIFS('Anexo I - Comércio'!$C$21:$C$92,'Anexo I - Comércio'!$B$21:$B$92,'Fator R'!$B35),0)+IFERROR(SUMIFS('Anexo II - Indústria'!$C$21:$C$92,'Anexo II - Indústria'!$B$21:$B$92,'Fator R'!$B35),0)+IFERROR(SUMIFS('Anexo III - Serviços'!$C$21:$C$92,'Anexo III - Serviços'!$B$21:$B$92,'Fator R'!$B35),0)+IFERROR(SUMIFS('Anexo IV - Serviços'!$C$21:$C$92,'Anexo IV - Serviços'!$B$21:$B$92,'Fator R'!$B35),0)+IFERROR(SUMIFS('Anexo V - Serviços'!$C$21:$C$92,'Anexo V - Serviços'!$B$21:$B$92,'Fator R'!$B35),0)</f>
        <v>0</v>
      </c>
      <c r="D35" s="95"/>
      <c r="E35" s="107" t="str">
        <f>IF('Fator R'!$D35="","",IFERROR((SUMIFS('Fator R'!$D$13:$D$84,'Fator R'!$B$13:$B$84,IF(MATCH('Fator R'!$B35,'Fator R'!$B$13:$B$84,0)=1,"=","&lt;")&amp;'Fator R'!$B35,'Fator R'!$B$13:$B$84,"&gt;="&amp;IF(MATCH('Fator R'!$B35,'Fator R'!$B$13:$B$84,0)&lt;12,T_DtIni[DATA INICIAL],EDATE('Fator R'!$B35,-12)))/(IF(MATCH('Fator R'!$B35,'Fator R'!$B$13:$B$84,0)&gt;12,12,MATCH('Fator R'!$B35,'Fator R'!$B$13:$B$84,0)))*12)/(SUMIFS('Fator R'!$C$13:$C$84,'Fator R'!$B$13:$B$84,IF(MATCH('Fator R'!$B35,'Fator R'!$B$13:$B$84,0)=1,"=","&lt;")&amp;'Fator R'!$B35,'Fator R'!$B$13:$B$84,"&gt;="&amp;IF(MATCH('Fator R'!$B35,'Fator R'!$B$13:$B$84,0)&lt;12,T_DtIni[DATA INICIAL],EDATE('Fator R'!$B35,-12)))/(IF(MATCH('Fator R'!$B35,'Fator R'!$B$13:$B$84,0)&gt;12,12,MATCH('Fator R'!$B35,'Fator R'!$B$13:$B$84,0)))*12),0))</f>
        <v/>
      </c>
      <c r="F35" s="108" t="str">
        <f>IF('Fator R'!$D35="","",IF('Fator R'!$E35&gt;=T_BaseFatorR[FATOR R],"Anexo III","Anexo V"))</f>
        <v/>
      </c>
    </row>
    <row r="36" spans="2:6" ht="15.6" x14ac:dyDescent="0.3">
      <c r="B36" s="105">
        <f>EDATE(T_DtIni[DATA INICIAL],ROW()-ROW('Fator R'!$B$12)-1)</f>
        <v>43435</v>
      </c>
      <c r="C36" s="106">
        <f>IFERROR(SUMIFS('Anexo I - Comércio'!$C$21:$C$92,'Anexo I - Comércio'!$B$21:$B$92,'Fator R'!$B36),0)+IFERROR(SUMIFS('Anexo II - Indústria'!$C$21:$C$92,'Anexo II - Indústria'!$B$21:$B$92,'Fator R'!$B36),0)+IFERROR(SUMIFS('Anexo III - Serviços'!$C$21:$C$92,'Anexo III - Serviços'!$B$21:$B$92,'Fator R'!$B36),0)+IFERROR(SUMIFS('Anexo IV - Serviços'!$C$21:$C$92,'Anexo IV - Serviços'!$B$21:$B$92,'Fator R'!$B36),0)+IFERROR(SUMIFS('Anexo V - Serviços'!$C$21:$C$92,'Anexo V - Serviços'!$B$21:$B$92,'Fator R'!$B36),0)</f>
        <v>0</v>
      </c>
      <c r="D36" s="95"/>
      <c r="E36" s="107" t="str">
        <f>IF('Fator R'!$D36="","",IFERROR((SUMIFS('Fator R'!$D$13:$D$84,'Fator R'!$B$13:$B$84,IF(MATCH('Fator R'!$B36,'Fator R'!$B$13:$B$84,0)=1,"=","&lt;")&amp;'Fator R'!$B36,'Fator R'!$B$13:$B$84,"&gt;="&amp;IF(MATCH('Fator R'!$B36,'Fator R'!$B$13:$B$84,0)&lt;12,T_DtIni[DATA INICIAL],EDATE('Fator R'!$B36,-12)))/(IF(MATCH('Fator R'!$B36,'Fator R'!$B$13:$B$84,0)&gt;12,12,MATCH('Fator R'!$B36,'Fator R'!$B$13:$B$84,0)))*12)/(SUMIFS('Fator R'!$C$13:$C$84,'Fator R'!$B$13:$B$84,IF(MATCH('Fator R'!$B36,'Fator R'!$B$13:$B$84,0)=1,"=","&lt;")&amp;'Fator R'!$B36,'Fator R'!$B$13:$B$84,"&gt;="&amp;IF(MATCH('Fator R'!$B36,'Fator R'!$B$13:$B$84,0)&lt;12,T_DtIni[DATA INICIAL],EDATE('Fator R'!$B36,-12)))/(IF(MATCH('Fator R'!$B36,'Fator R'!$B$13:$B$84,0)&gt;12,12,MATCH('Fator R'!$B36,'Fator R'!$B$13:$B$84,0)))*12),0))</f>
        <v/>
      </c>
      <c r="F36" s="108" t="str">
        <f>IF('Fator R'!$D36="","",IF('Fator R'!$E36&gt;=T_BaseFatorR[FATOR R],"Anexo III","Anexo V"))</f>
        <v/>
      </c>
    </row>
    <row r="37" spans="2:6" ht="15.6" x14ac:dyDescent="0.3">
      <c r="B37" s="105">
        <f>EDATE(T_DtIni[DATA INICIAL],ROW()-ROW('Fator R'!$B$12)-1)</f>
        <v>43466</v>
      </c>
      <c r="C37" s="106">
        <f>IFERROR(SUMIFS('Anexo I - Comércio'!$C$21:$C$92,'Anexo I - Comércio'!$B$21:$B$92,'Fator R'!$B37),0)+IFERROR(SUMIFS('Anexo II - Indústria'!$C$21:$C$92,'Anexo II - Indústria'!$B$21:$B$92,'Fator R'!$B37),0)+IFERROR(SUMIFS('Anexo III - Serviços'!$C$21:$C$92,'Anexo III - Serviços'!$B$21:$B$92,'Fator R'!$B37),0)+IFERROR(SUMIFS('Anexo IV - Serviços'!$C$21:$C$92,'Anexo IV - Serviços'!$B$21:$B$92,'Fator R'!$B37),0)+IFERROR(SUMIFS('Anexo V - Serviços'!$C$21:$C$92,'Anexo V - Serviços'!$B$21:$B$92,'Fator R'!$B37),0)</f>
        <v>0</v>
      </c>
      <c r="D37" s="95"/>
      <c r="E37" s="107" t="str">
        <f>IF('Fator R'!$D37="","",IFERROR((SUMIFS('Fator R'!$D$13:$D$84,'Fator R'!$B$13:$B$84,IF(MATCH('Fator R'!$B37,'Fator R'!$B$13:$B$84,0)=1,"=","&lt;")&amp;'Fator R'!$B37,'Fator R'!$B$13:$B$84,"&gt;="&amp;IF(MATCH('Fator R'!$B37,'Fator R'!$B$13:$B$84,0)&lt;12,T_DtIni[DATA INICIAL],EDATE('Fator R'!$B37,-12)))/(IF(MATCH('Fator R'!$B37,'Fator R'!$B$13:$B$84,0)&gt;12,12,MATCH('Fator R'!$B37,'Fator R'!$B$13:$B$84,0)))*12)/(SUMIFS('Fator R'!$C$13:$C$84,'Fator R'!$B$13:$B$84,IF(MATCH('Fator R'!$B37,'Fator R'!$B$13:$B$84,0)=1,"=","&lt;")&amp;'Fator R'!$B37,'Fator R'!$B$13:$B$84,"&gt;="&amp;IF(MATCH('Fator R'!$B37,'Fator R'!$B$13:$B$84,0)&lt;12,T_DtIni[DATA INICIAL],EDATE('Fator R'!$B37,-12)))/(IF(MATCH('Fator R'!$B37,'Fator R'!$B$13:$B$84,0)&gt;12,12,MATCH('Fator R'!$B37,'Fator R'!$B$13:$B$84,0)))*12),0))</f>
        <v/>
      </c>
      <c r="F37" s="108" t="str">
        <f>IF('Fator R'!$D37="","",IF('Fator R'!$E37&gt;=T_BaseFatorR[FATOR R],"Anexo III","Anexo V"))</f>
        <v/>
      </c>
    </row>
    <row r="38" spans="2:6" ht="15.6" x14ac:dyDescent="0.3">
      <c r="B38" s="105">
        <f>EDATE(T_DtIni[DATA INICIAL],ROW()-ROW('Fator R'!$B$12)-1)</f>
        <v>43497</v>
      </c>
      <c r="C38" s="106">
        <f>IFERROR(SUMIFS('Anexo I - Comércio'!$C$21:$C$92,'Anexo I - Comércio'!$B$21:$B$92,'Fator R'!$B38),0)+IFERROR(SUMIFS('Anexo II - Indústria'!$C$21:$C$92,'Anexo II - Indústria'!$B$21:$B$92,'Fator R'!$B38),0)+IFERROR(SUMIFS('Anexo III - Serviços'!$C$21:$C$92,'Anexo III - Serviços'!$B$21:$B$92,'Fator R'!$B38),0)+IFERROR(SUMIFS('Anexo IV - Serviços'!$C$21:$C$92,'Anexo IV - Serviços'!$B$21:$B$92,'Fator R'!$B38),0)+IFERROR(SUMIFS('Anexo V - Serviços'!$C$21:$C$92,'Anexo V - Serviços'!$B$21:$B$92,'Fator R'!$B38),0)</f>
        <v>0</v>
      </c>
      <c r="D38" s="95"/>
      <c r="E38" s="107" t="str">
        <f>IF('Fator R'!$D38="","",IFERROR((SUMIFS('Fator R'!$D$13:$D$84,'Fator R'!$B$13:$B$84,IF(MATCH('Fator R'!$B38,'Fator R'!$B$13:$B$84,0)=1,"=","&lt;")&amp;'Fator R'!$B38,'Fator R'!$B$13:$B$84,"&gt;="&amp;IF(MATCH('Fator R'!$B38,'Fator R'!$B$13:$B$84,0)&lt;12,T_DtIni[DATA INICIAL],EDATE('Fator R'!$B38,-12)))/(IF(MATCH('Fator R'!$B38,'Fator R'!$B$13:$B$84,0)&gt;12,12,MATCH('Fator R'!$B38,'Fator R'!$B$13:$B$84,0)))*12)/(SUMIFS('Fator R'!$C$13:$C$84,'Fator R'!$B$13:$B$84,IF(MATCH('Fator R'!$B38,'Fator R'!$B$13:$B$84,0)=1,"=","&lt;")&amp;'Fator R'!$B38,'Fator R'!$B$13:$B$84,"&gt;="&amp;IF(MATCH('Fator R'!$B38,'Fator R'!$B$13:$B$84,0)&lt;12,T_DtIni[DATA INICIAL],EDATE('Fator R'!$B38,-12)))/(IF(MATCH('Fator R'!$B38,'Fator R'!$B$13:$B$84,0)&gt;12,12,MATCH('Fator R'!$B38,'Fator R'!$B$13:$B$84,0)))*12),0))</f>
        <v/>
      </c>
      <c r="F38" s="108" t="str">
        <f>IF('Fator R'!$D38="","",IF('Fator R'!$E38&gt;=T_BaseFatorR[FATOR R],"Anexo III","Anexo V"))</f>
        <v/>
      </c>
    </row>
    <row r="39" spans="2:6" ht="15.6" x14ac:dyDescent="0.3">
      <c r="B39" s="105">
        <f>EDATE(T_DtIni[DATA INICIAL],ROW()-ROW('Fator R'!$B$12)-1)</f>
        <v>43525</v>
      </c>
      <c r="C39" s="106">
        <f>IFERROR(SUMIFS('Anexo I - Comércio'!$C$21:$C$92,'Anexo I - Comércio'!$B$21:$B$92,'Fator R'!$B39),0)+IFERROR(SUMIFS('Anexo II - Indústria'!$C$21:$C$92,'Anexo II - Indústria'!$B$21:$B$92,'Fator R'!$B39),0)+IFERROR(SUMIFS('Anexo III - Serviços'!$C$21:$C$92,'Anexo III - Serviços'!$B$21:$B$92,'Fator R'!$B39),0)+IFERROR(SUMIFS('Anexo IV - Serviços'!$C$21:$C$92,'Anexo IV - Serviços'!$B$21:$B$92,'Fator R'!$B39),0)+IFERROR(SUMIFS('Anexo V - Serviços'!$C$21:$C$92,'Anexo V - Serviços'!$B$21:$B$92,'Fator R'!$B39),0)</f>
        <v>0</v>
      </c>
      <c r="D39" s="95"/>
      <c r="E39" s="107" t="str">
        <f>IF('Fator R'!$D39="","",IFERROR((SUMIFS('Fator R'!$D$13:$D$84,'Fator R'!$B$13:$B$84,IF(MATCH('Fator R'!$B39,'Fator R'!$B$13:$B$84,0)=1,"=","&lt;")&amp;'Fator R'!$B39,'Fator R'!$B$13:$B$84,"&gt;="&amp;IF(MATCH('Fator R'!$B39,'Fator R'!$B$13:$B$84,0)&lt;12,T_DtIni[DATA INICIAL],EDATE('Fator R'!$B39,-12)))/(IF(MATCH('Fator R'!$B39,'Fator R'!$B$13:$B$84,0)&gt;12,12,MATCH('Fator R'!$B39,'Fator R'!$B$13:$B$84,0)))*12)/(SUMIFS('Fator R'!$C$13:$C$84,'Fator R'!$B$13:$B$84,IF(MATCH('Fator R'!$B39,'Fator R'!$B$13:$B$84,0)=1,"=","&lt;")&amp;'Fator R'!$B39,'Fator R'!$B$13:$B$84,"&gt;="&amp;IF(MATCH('Fator R'!$B39,'Fator R'!$B$13:$B$84,0)&lt;12,T_DtIni[DATA INICIAL],EDATE('Fator R'!$B39,-12)))/(IF(MATCH('Fator R'!$B39,'Fator R'!$B$13:$B$84,0)&gt;12,12,MATCH('Fator R'!$B39,'Fator R'!$B$13:$B$84,0)))*12),0))</f>
        <v/>
      </c>
      <c r="F39" s="108" t="str">
        <f>IF('Fator R'!$D39="","",IF('Fator R'!$E39&gt;=T_BaseFatorR[FATOR R],"Anexo III","Anexo V"))</f>
        <v/>
      </c>
    </row>
    <row r="40" spans="2:6" ht="15.6" x14ac:dyDescent="0.3">
      <c r="B40" s="105">
        <f>EDATE(T_DtIni[DATA INICIAL],ROW()-ROW('Fator R'!$B$12)-1)</f>
        <v>43556</v>
      </c>
      <c r="C40" s="106">
        <f>IFERROR(SUMIFS('Anexo I - Comércio'!$C$21:$C$92,'Anexo I - Comércio'!$B$21:$B$92,'Fator R'!$B40),0)+IFERROR(SUMIFS('Anexo II - Indústria'!$C$21:$C$92,'Anexo II - Indústria'!$B$21:$B$92,'Fator R'!$B40),0)+IFERROR(SUMIFS('Anexo III - Serviços'!$C$21:$C$92,'Anexo III - Serviços'!$B$21:$B$92,'Fator R'!$B40),0)+IFERROR(SUMIFS('Anexo IV - Serviços'!$C$21:$C$92,'Anexo IV - Serviços'!$B$21:$B$92,'Fator R'!$B40),0)+IFERROR(SUMIFS('Anexo V - Serviços'!$C$21:$C$92,'Anexo V - Serviços'!$B$21:$B$92,'Fator R'!$B40),0)</f>
        <v>0</v>
      </c>
      <c r="D40" s="95"/>
      <c r="E40" s="107" t="str">
        <f>IF('Fator R'!$D40="","",IFERROR((SUMIFS('Fator R'!$D$13:$D$84,'Fator R'!$B$13:$B$84,IF(MATCH('Fator R'!$B40,'Fator R'!$B$13:$B$84,0)=1,"=","&lt;")&amp;'Fator R'!$B40,'Fator R'!$B$13:$B$84,"&gt;="&amp;IF(MATCH('Fator R'!$B40,'Fator R'!$B$13:$B$84,0)&lt;12,T_DtIni[DATA INICIAL],EDATE('Fator R'!$B40,-12)))/(IF(MATCH('Fator R'!$B40,'Fator R'!$B$13:$B$84,0)&gt;12,12,MATCH('Fator R'!$B40,'Fator R'!$B$13:$B$84,0)))*12)/(SUMIFS('Fator R'!$C$13:$C$84,'Fator R'!$B$13:$B$84,IF(MATCH('Fator R'!$B40,'Fator R'!$B$13:$B$84,0)=1,"=","&lt;")&amp;'Fator R'!$B40,'Fator R'!$B$13:$B$84,"&gt;="&amp;IF(MATCH('Fator R'!$B40,'Fator R'!$B$13:$B$84,0)&lt;12,T_DtIni[DATA INICIAL],EDATE('Fator R'!$B40,-12)))/(IF(MATCH('Fator R'!$B40,'Fator R'!$B$13:$B$84,0)&gt;12,12,MATCH('Fator R'!$B40,'Fator R'!$B$13:$B$84,0)))*12),0))</f>
        <v/>
      </c>
      <c r="F40" s="108" t="str">
        <f>IF('Fator R'!$D40="","",IF('Fator R'!$E40&gt;=T_BaseFatorR[FATOR R],"Anexo III","Anexo V"))</f>
        <v/>
      </c>
    </row>
    <row r="41" spans="2:6" ht="15.6" x14ac:dyDescent="0.3">
      <c r="B41" s="105">
        <f>EDATE(T_DtIni[DATA INICIAL],ROW()-ROW('Fator R'!$B$12)-1)</f>
        <v>43586</v>
      </c>
      <c r="C41" s="106">
        <f>IFERROR(SUMIFS('Anexo I - Comércio'!$C$21:$C$92,'Anexo I - Comércio'!$B$21:$B$92,'Fator R'!$B41),0)+IFERROR(SUMIFS('Anexo II - Indústria'!$C$21:$C$92,'Anexo II - Indústria'!$B$21:$B$92,'Fator R'!$B41),0)+IFERROR(SUMIFS('Anexo III - Serviços'!$C$21:$C$92,'Anexo III - Serviços'!$B$21:$B$92,'Fator R'!$B41),0)+IFERROR(SUMIFS('Anexo IV - Serviços'!$C$21:$C$92,'Anexo IV - Serviços'!$B$21:$B$92,'Fator R'!$B41),0)+IFERROR(SUMIFS('Anexo V - Serviços'!$C$21:$C$92,'Anexo V - Serviços'!$B$21:$B$92,'Fator R'!$B41),0)</f>
        <v>0</v>
      </c>
      <c r="D41" s="95"/>
      <c r="E41" s="107" t="str">
        <f>IF('Fator R'!$D41="","",IFERROR((SUMIFS('Fator R'!$D$13:$D$84,'Fator R'!$B$13:$B$84,IF(MATCH('Fator R'!$B41,'Fator R'!$B$13:$B$84,0)=1,"=","&lt;")&amp;'Fator R'!$B41,'Fator R'!$B$13:$B$84,"&gt;="&amp;IF(MATCH('Fator R'!$B41,'Fator R'!$B$13:$B$84,0)&lt;12,T_DtIni[DATA INICIAL],EDATE('Fator R'!$B41,-12)))/(IF(MATCH('Fator R'!$B41,'Fator R'!$B$13:$B$84,0)&gt;12,12,MATCH('Fator R'!$B41,'Fator R'!$B$13:$B$84,0)))*12)/(SUMIFS('Fator R'!$C$13:$C$84,'Fator R'!$B$13:$B$84,IF(MATCH('Fator R'!$B41,'Fator R'!$B$13:$B$84,0)=1,"=","&lt;")&amp;'Fator R'!$B41,'Fator R'!$B$13:$B$84,"&gt;="&amp;IF(MATCH('Fator R'!$B41,'Fator R'!$B$13:$B$84,0)&lt;12,T_DtIni[DATA INICIAL],EDATE('Fator R'!$B41,-12)))/(IF(MATCH('Fator R'!$B41,'Fator R'!$B$13:$B$84,0)&gt;12,12,MATCH('Fator R'!$B41,'Fator R'!$B$13:$B$84,0)))*12),0))</f>
        <v/>
      </c>
      <c r="F41" s="108" t="str">
        <f>IF('Fator R'!$D41="","",IF('Fator R'!$E41&gt;=T_BaseFatorR[FATOR R],"Anexo III","Anexo V"))</f>
        <v/>
      </c>
    </row>
    <row r="42" spans="2:6" ht="15.6" x14ac:dyDescent="0.3">
      <c r="B42" s="105">
        <f>EDATE(T_DtIni[DATA INICIAL],ROW()-ROW('Fator R'!$B$12)-1)</f>
        <v>43617</v>
      </c>
      <c r="C42" s="106">
        <f>IFERROR(SUMIFS('Anexo I - Comércio'!$C$21:$C$92,'Anexo I - Comércio'!$B$21:$B$92,'Fator R'!$B42),0)+IFERROR(SUMIFS('Anexo II - Indústria'!$C$21:$C$92,'Anexo II - Indústria'!$B$21:$B$92,'Fator R'!$B42),0)+IFERROR(SUMIFS('Anexo III - Serviços'!$C$21:$C$92,'Anexo III - Serviços'!$B$21:$B$92,'Fator R'!$B42),0)+IFERROR(SUMIFS('Anexo IV - Serviços'!$C$21:$C$92,'Anexo IV - Serviços'!$B$21:$B$92,'Fator R'!$B42),0)+IFERROR(SUMIFS('Anexo V - Serviços'!$C$21:$C$92,'Anexo V - Serviços'!$B$21:$B$92,'Fator R'!$B42),0)</f>
        <v>0</v>
      </c>
      <c r="D42" s="95"/>
      <c r="E42" s="107" t="str">
        <f>IF('Fator R'!$D42="","",IFERROR((SUMIFS('Fator R'!$D$13:$D$84,'Fator R'!$B$13:$B$84,IF(MATCH('Fator R'!$B42,'Fator R'!$B$13:$B$84,0)=1,"=","&lt;")&amp;'Fator R'!$B42,'Fator R'!$B$13:$B$84,"&gt;="&amp;IF(MATCH('Fator R'!$B42,'Fator R'!$B$13:$B$84,0)&lt;12,T_DtIni[DATA INICIAL],EDATE('Fator R'!$B42,-12)))/(IF(MATCH('Fator R'!$B42,'Fator R'!$B$13:$B$84,0)&gt;12,12,MATCH('Fator R'!$B42,'Fator R'!$B$13:$B$84,0)))*12)/(SUMIFS('Fator R'!$C$13:$C$84,'Fator R'!$B$13:$B$84,IF(MATCH('Fator R'!$B42,'Fator R'!$B$13:$B$84,0)=1,"=","&lt;")&amp;'Fator R'!$B42,'Fator R'!$B$13:$B$84,"&gt;="&amp;IF(MATCH('Fator R'!$B42,'Fator R'!$B$13:$B$84,0)&lt;12,T_DtIni[DATA INICIAL],EDATE('Fator R'!$B42,-12)))/(IF(MATCH('Fator R'!$B42,'Fator R'!$B$13:$B$84,0)&gt;12,12,MATCH('Fator R'!$B42,'Fator R'!$B$13:$B$84,0)))*12),0))</f>
        <v/>
      </c>
      <c r="F42" s="108" t="str">
        <f>IF('Fator R'!$D42="","",IF('Fator R'!$E42&gt;=T_BaseFatorR[FATOR R],"Anexo III","Anexo V"))</f>
        <v/>
      </c>
    </row>
    <row r="43" spans="2:6" ht="15.6" x14ac:dyDescent="0.3">
      <c r="B43" s="105">
        <f>EDATE(T_DtIni[DATA INICIAL],ROW()-ROW('Fator R'!$B$12)-1)</f>
        <v>43647</v>
      </c>
      <c r="C43" s="106">
        <f>IFERROR(SUMIFS('Anexo I - Comércio'!$C$21:$C$92,'Anexo I - Comércio'!$B$21:$B$92,'Fator R'!$B43),0)+IFERROR(SUMIFS('Anexo II - Indústria'!$C$21:$C$92,'Anexo II - Indústria'!$B$21:$B$92,'Fator R'!$B43),0)+IFERROR(SUMIFS('Anexo III - Serviços'!$C$21:$C$92,'Anexo III - Serviços'!$B$21:$B$92,'Fator R'!$B43),0)+IFERROR(SUMIFS('Anexo IV - Serviços'!$C$21:$C$92,'Anexo IV - Serviços'!$B$21:$B$92,'Fator R'!$B43),0)+IFERROR(SUMIFS('Anexo V - Serviços'!$C$21:$C$92,'Anexo V - Serviços'!$B$21:$B$92,'Fator R'!$B43),0)</f>
        <v>0</v>
      </c>
      <c r="D43" s="95"/>
      <c r="E43" s="107" t="str">
        <f>IF('Fator R'!$D43="","",IFERROR((SUMIFS('Fator R'!$D$13:$D$84,'Fator R'!$B$13:$B$84,IF(MATCH('Fator R'!$B43,'Fator R'!$B$13:$B$84,0)=1,"=","&lt;")&amp;'Fator R'!$B43,'Fator R'!$B$13:$B$84,"&gt;="&amp;IF(MATCH('Fator R'!$B43,'Fator R'!$B$13:$B$84,0)&lt;12,T_DtIni[DATA INICIAL],EDATE('Fator R'!$B43,-12)))/(IF(MATCH('Fator R'!$B43,'Fator R'!$B$13:$B$84,0)&gt;12,12,MATCH('Fator R'!$B43,'Fator R'!$B$13:$B$84,0)))*12)/(SUMIFS('Fator R'!$C$13:$C$84,'Fator R'!$B$13:$B$84,IF(MATCH('Fator R'!$B43,'Fator R'!$B$13:$B$84,0)=1,"=","&lt;")&amp;'Fator R'!$B43,'Fator R'!$B$13:$B$84,"&gt;="&amp;IF(MATCH('Fator R'!$B43,'Fator R'!$B$13:$B$84,0)&lt;12,T_DtIni[DATA INICIAL],EDATE('Fator R'!$B43,-12)))/(IF(MATCH('Fator R'!$B43,'Fator R'!$B$13:$B$84,0)&gt;12,12,MATCH('Fator R'!$B43,'Fator R'!$B$13:$B$84,0)))*12),0))</f>
        <v/>
      </c>
      <c r="F43" s="108" t="str">
        <f>IF('Fator R'!$D43="","",IF('Fator R'!$E43&gt;=T_BaseFatorR[FATOR R],"Anexo III","Anexo V"))</f>
        <v/>
      </c>
    </row>
    <row r="44" spans="2:6" ht="15.6" x14ac:dyDescent="0.3">
      <c r="B44" s="105">
        <f>EDATE(T_DtIni[DATA INICIAL],ROW()-ROW('Fator R'!$B$12)-1)</f>
        <v>43678</v>
      </c>
      <c r="C44" s="106">
        <f>IFERROR(SUMIFS('Anexo I - Comércio'!$C$21:$C$92,'Anexo I - Comércio'!$B$21:$B$92,'Fator R'!$B44),0)+IFERROR(SUMIFS('Anexo II - Indústria'!$C$21:$C$92,'Anexo II - Indústria'!$B$21:$B$92,'Fator R'!$B44),0)+IFERROR(SUMIFS('Anexo III - Serviços'!$C$21:$C$92,'Anexo III - Serviços'!$B$21:$B$92,'Fator R'!$B44),0)+IFERROR(SUMIFS('Anexo IV - Serviços'!$C$21:$C$92,'Anexo IV - Serviços'!$B$21:$B$92,'Fator R'!$B44),0)+IFERROR(SUMIFS('Anexo V - Serviços'!$C$21:$C$92,'Anexo V - Serviços'!$B$21:$B$92,'Fator R'!$B44),0)</f>
        <v>0</v>
      </c>
      <c r="D44" s="95"/>
      <c r="E44" s="107" t="str">
        <f>IF('Fator R'!$D44="","",IFERROR((SUMIFS('Fator R'!$D$13:$D$84,'Fator R'!$B$13:$B$84,IF(MATCH('Fator R'!$B44,'Fator R'!$B$13:$B$84,0)=1,"=","&lt;")&amp;'Fator R'!$B44,'Fator R'!$B$13:$B$84,"&gt;="&amp;IF(MATCH('Fator R'!$B44,'Fator R'!$B$13:$B$84,0)&lt;12,T_DtIni[DATA INICIAL],EDATE('Fator R'!$B44,-12)))/(IF(MATCH('Fator R'!$B44,'Fator R'!$B$13:$B$84,0)&gt;12,12,MATCH('Fator R'!$B44,'Fator R'!$B$13:$B$84,0)))*12)/(SUMIFS('Fator R'!$C$13:$C$84,'Fator R'!$B$13:$B$84,IF(MATCH('Fator R'!$B44,'Fator R'!$B$13:$B$84,0)=1,"=","&lt;")&amp;'Fator R'!$B44,'Fator R'!$B$13:$B$84,"&gt;="&amp;IF(MATCH('Fator R'!$B44,'Fator R'!$B$13:$B$84,0)&lt;12,T_DtIni[DATA INICIAL],EDATE('Fator R'!$B44,-12)))/(IF(MATCH('Fator R'!$B44,'Fator R'!$B$13:$B$84,0)&gt;12,12,MATCH('Fator R'!$B44,'Fator R'!$B$13:$B$84,0)))*12),0))</f>
        <v/>
      </c>
      <c r="F44" s="108" t="str">
        <f>IF('Fator R'!$D44="","",IF('Fator R'!$E44&gt;=T_BaseFatorR[FATOR R],"Anexo III","Anexo V"))</f>
        <v/>
      </c>
    </row>
    <row r="45" spans="2:6" ht="15.6" x14ac:dyDescent="0.3">
      <c r="B45" s="105">
        <f>EDATE(T_DtIni[DATA INICIAL],ROW()-ROW('Fator R'!$B$12)-1)</f>
        <v>43709</v>
      </c>
      <c r="C45" s="106">
        <f>IFERROR(SUMIFS('Anexo I - Comércio'!$C$21:$C$92,'Anexo I - Comércio'!$B$21:$B$92,'Fator R'!$B45),0)+IFERROR(SUMIFS('Anexo II - Indústria'!$C$21:$C$92,'Anexo II - Indústria'!$B$21:$B$92,'Fator R'!$B45),0)+IFERROR(SUMIFS('Anexo III - Serviços'!$C$21:$C$92,'Anexo III - Serviços'!$B$21:$B$92,'Fator R'!$B45),0)+IFERROR(SUMIFS('Anexo IV - Serviços'!$C$21:$C$92,'Anexo IV - Serviços'!$B$21:$B$92,'Fator R'!$B45),0)+IFERROR(SUMIFS('Anexo V - Serviços'!$C$21:$C$92,'Anexo V - Serviços'!$B$21:$B$92,'Fator R'!$B45),0)</f>
        <v>0</v>
      </c>
      <c r="D45" s="95"/>
      <c r="E45" s="107" t="str">
        <f>IF('Fator R'!$D45="","",IFERROR((SUMIFS('Fator R'!$D$13:$D$84,'Fator R'!$B$13:$B$84,IF(MATCH('Fator R'!$B45,'Fator R'!$B$13:$B$84,0)=1,"=","&lt;")&amp;'Fator R'!$B45,'Fator R'!$B$13:$B$84,"&gt;="&amp;IF(MATCH('Fator R'!$B45,'Fator R'!$B$13:$B$84,0)&lt;12,T_DtIni[DATA INICIAL],EDATE('Fator R'!$B45,-12)))/(IF(MATCH('Fator R'!$B45,'Fator R'!$B$13:$B$84,0)&gt;12,12,MATCH('Fator R'!$B45,'Fator R'!$B$13:$B$84,0)))*12)/(SUMIFS('Fator R'!$C$13:$C$84,'Fator R'!$B$13:$B$84,IF(MATCH('Fator R'!$B45,'Fator R'!$B$13:$B$84,0)=1,"=","&lt;")&amp;'Fator R'!$B45,'Fator R'!$B$13:$B$84,"&gt;="&amp;IF(MATCH('Fator R'!$B45,'Fator R'!$B$13:$B$84,0)&lt;12,T_DtIni[DATA INICIAL],EDATE('Fator R'!$B45,-12)))/(IF(MATCH('Fator R'!$B45,'Fator R'!$B$13:$B$84,0)&gt;12,12,MATCH('Fator R'!$B45,'Fator R'!$B$13:$B$84,0)))*12),0))</f>
        <v/>
      </c>
      <c r="F45" s="108" t="str">
        <f>IF('Fator R'!$D45="","",IF('Fator R'!$E45&gt;=T_BaseFatorR[FATOR R],"Anexo III","Anexo V"))</f>
        <v/>
      </c>
    </row>
    <row r="46" spans="2:6" ht="15.6" x14ac:dyDescent="0.3">
      <c r="B46" s="105">
        <f>EDATE(T_DtIni[DATA INICIAL],ROW()-ROW('Fator R'!$B$12)-1)</f>
        <v>43739</v>
      </c>
      <c r="C46" s="106">
        <f>IFERROR(SUMIFS('Anexo I - Comércio'!$C$21:$C$92,'Anexo I - Comércio'!$B$21:$B$92,'Fator R'!$B46),0)+IFERROR(SUMIFS('Anexo II - Indústria'!$C$21:$C$92,'Anexo II - Indústria'!$B$21:$B$92,'Fator R'!$B46),0)+IFERROR(SUMIFS('Anexo III - Serviços'!$C$21:$C$92,'Anexo III - Serviços'!$B$21:$B$92,'Fator R'!$B46),0)+IFERROR(SUMIFS('Anexo IV - Serviços'!$C$21:$C$92,'Anexo IV - Serviços'!$B$21:$B$92,'Fator R'!$B46),0)+IFERROR(SUMIFS('Anexo V - Serviços'!$C$21:$C$92,'Anexo V - Serviços'!$B$21:$B$92,'Fator R'!$B46),0)</f>
        <v>0</v>
      </c>
      <c r="D46" s="95"/>
      <c r="E46" s="107" t="str">
        <f>IF('Fator R'!$D46="","",IFERROR((SUMIFS('Fator R'!$D$13:$D$84,'Fator R'!$B$13:$B$84,IF(MATCH('Fator R'!$B46,'Fator R'!$B$13:$B$84,0)=1,"=","&lt;")&amp;'Fator R'!$B46,'Fator R'!$B$13:$B$84,"&gt;="&amp;IF(MATCH('Fator R'!$B46,'Fator R'!$B$13:$B$84,0)&lt;12,T_DtIni[DATA INICIAL],EDATE('Fator R'!$B46,-12)))/(IF(MATCH('Fator R'!$B46,'Fator R'!$B$13:$B$84,0)&gt;12,12,MATCH('Fator R'!$B46,'Fator R'!$B$13:$B$84,0)))*12)/(SUMIFS('Fator R'!$C$13:$C$84,'Fator R'!$B$13:$B$84,IF(MATCH('Fator R'!$B46,'Fator R'!$B$13:$B$84,0)=1,"=","&lt;")&amp;'Fator R'!$B46,'Fator R'!$B$13:$B$84,"&gt;="&amp;IF(MATCH('Fator R'!$B46,'Fator R'!$B$13:$B$84,0)&lt;12,T_DtIni[DATA INICIAL],EDATE('Fator R'!$B46,-12)))/(IF(MATCH('Fator R'!$B46,'Fator R'!$B$13:$B$84,0)&gt;12,12,MATCH('Fator R'!$B46,'Fator R'!$B$13:$B$84,0)))*12),0))</f>
        <v/>
      </c>
      <c r="F46" s="108" t="str">
        <f>IF('Fator R'!$D46="","",IF('Fator R'!$E46&gt;=T_BaseFatorR[FATOR R],"Anexo III","Anexo V"))</f>
        <v/>
      </c>
    </row>
    <row r="47" spans="2:6" ht="15.6" x14ac:dyDescent="0.3">
      <c r="B47" s="105">
        <f>EDATE(T_DtIni[DATA INICIAL],ROW()-ROW('Fator R'!$B$12)-1)</f>
        <v>43770</v>
      </c>
      <c r="C47" s="106">
        <f>IFERROR(SUMIFS('Anexo I - Comércio'!$C$21:$C$92,'Anexo I - Comércio'!$B$21:$B$92,'Fator R'!$B47),0)+IFERROR(SUMIFS('Anexo II - Indústria'!$C$21:$C$92,'Anexo II - Indústria'!$B$21:$B$92,'Fator R'!$B47),0)+IFERROR(SUMIFS('Anexo III - Serviços'!$C$21:$C$92,'Anexo III - Serviços'!$B$21:$B$92,'Fator R'!$B47),0)+IFERROR(SUMIFS('Anexo IV - Serviços'!$C$21:$C$92,'Anexo IV - Serviços'!$B$21:$B$92,'Fator R'!$B47),0)+IFERROR(SUMIFS('Anexo V - Serviços'!$C$21:$C$92,'Anexo V - Serviços'!$B$21:$B$92,'Fator R'!$B47),0)</f>
        <v>0</v>
      </c>
      <c r="D47" s="95"/>
      <c r="E47" s="107" t="str">
        <f>IF('Fator R'!$D47="","",IFERROR((SUMIFS('Fator R'!$D$13:$D$84,'Fator R'!$B$13:$B$84,IF(MATCH('Fator R'!$B47,'Fator R'!$B$13:$B$84,0)=1,"=","&lt;")&amp;'Fator R'!$B47,'Fator R'!$B$13:$B$84,"&gt;="&amp;IF(MATCH('Fator R'!$B47,'Fator R'!$B$13:$B$84,0)&lt;12,T_DtIni[DATA INICIAL],EDATE('Fator R'!$B47,-12)))/(IF(MATCH('Fator R'!$B47,'Fator R'!$B$13:$B$84,0)&gt;12,12,MATCH('Fator R'!$B47,'Fator R'!$B$13:$B$84,0)))*12)/(SUMIFS('Fator R'!$C$13:$C$84,'Fator R'!$B$13:$B$84,IF(MATCH('Fator R'!$B47,'Fator R'!$B$13:$B$84,0)=1,"=","&lt;")&amp;'Fator R'!$B47,'Fator R'!$B$13:$B$84,"&gt;="&amp;IF(MATCH('Fator R'!$B47,'Fator R'!$B$13:$B$84,0)&lt;12,T_DtIni[DATA INICIAL],EDATE('Fator R'!$B47,-12)))/(IF(MATCH('Fator R'!$B47,'Fator R'!$B$13:$B$84,0)&gt;12,12,MATCH('Fator R'!$B47,'Fator R'!$B$13:$B$84,0)))*12),0))</f>
        <v/>
      </c>
      <c r="F47" s="108" t="str">
        <f>IF('Fator R'!$D47="","",IF('Fator R'!$E47&gt;=T_BaseFatorR[FATOR R],"Anexo III","Anexo V"))</f>
        <v/>
      </c>
    </row>
    <row r="48" spans="2:6" ht="15.6" x14ac:dyDescent="0.3">
      <c r="B48" s="105">
        <f>EDATE(T_DtIni[DATA INICIAL],ROW()-ROW('Fator R'!$B$12)-1)</f>
        <v>43800</v>
      </c>
      <c r="C48" s="106">
        <f>IFERROR(SUMIFS('Anexo I - Comércio'!$C$21:$C$92,'Anexo I - Comércio'!$B$21:$B$92,'Fator R'!$B48),0)+IFERROR(SUMIFS('Anexo II - Indústria'!$C$21:$C$92,'Anexo II - Indústria'!$B$21:$B$92,'Fator R'!$B48),0)+IFERROR(SUMIFS('Anexo III - Serviços'!$C$21:$C$92,'Anexo III - Serviços'!$B$21:$B$92,'Fator R'!$B48),0)+IFERROR(SUMIFS('Anexo IV - Serviços'!$C$21:$C$92,'Anexo IV - Serviços'!$B$21:$B$92,'Fator R'!$B48),0)+IFERROR(SUMIFS('Anexo V - Serviços'!$C$21:$C$92,'Anexo V - Serviços'!$B$21:$B$92,'Fator R'!$B48),0)</f>
        <v>0</v>
      </c>
      <c r="D48" s="95"/>
      <c r="E48" s="107" t="str">
        <f>IF('Fator R'!$D48="","",IFERROR((SUMIFS('Fator R'!$D$13:$D$84,'Fator R'!$B$13:$B$84,IF(MATCH('Fator R'!$B48,'Fator R'!$B$13:$B$84,0)=1,"=","&lt;")&amp;'Fator R'!$B48,'Fator R'!$B$13:$B$84,"&gt;="&amp;IF(MATCH('Fator R'!$B48,'Fator R'!$B$13:$B$84,0)&lt;12,T_DtIni[DATA INICIAL],EDATE('Fator R'!$B48,-12)))/(IF(MATCH('Fator R'!$B48,'Fator R'!$B$13:$B$84,0)&gt;12,12,MATCH('Fator R'!$B48,'Fator R'!$B$13:$B$84,0)))*12)/(SUMIFS('Fator R'!$C$13:$C$84,'Fator R'!$B$13:$B$84,IF(MATCH('Fator R'!$B48,'Fator R'!$B$13:$B$84,0)=1,"=","&lt;")&amp;'Fator R'!$B48,'Fator R'!$B$13:$B$84,"&gt;="&amp;IF(MATCH('Fator R'!$B48,'Fator R'!$B$13:$B$84,0)&lt;12,T_DtIni[DATA INICIAL],EDATE('Fator R'!$B48,-12)))/(IF(MATCH('Fator R'!$B48,'Fator R'!$B$13:$B$84,0)&gt;12,12,MATCH('Fator R'!$B48,'Fator R'!$B$13:$B$84,0)))*12),0))</f>
        <v/>
      </c>
      <c r="F48" s="108" t="str">
        <f>IF('Fator R'!$D48="","",IF('Fator R'!$E48&gt;=T_BaseFatorR[FATOR R],"Anexo III","Anexo V"))</f>
        <v/>
      </c>
    </row>
    <row r="49" spans="2:6" ht="15.6" x14ac:dyDescent="0.3">
      <c r="B49" s="105">
        <f>EDATE(T_DtIni[DATA INICIAL],ROW()-ROW('Fator R'!$B$12)-1)</f>
        <v>43831</v>
      </c>
      <c r="C49" s="106">
        <f>IFERROR(SUMIFS('Anexo I - Comércio'!$C$21:$C$92,'Anexo I - Comércio'!$B$21:$B$92,'Fator R'!$B49),0)+IFERROR(SUMIFS('Anexo II - Indústria'!$C$21:$C$92,'Anexo II - Indústria'!$B$21:$B$92,'Fator R'!$B49),0)+IFERROR(SUMIFS('Anexo III - Serviços'!$C$21:$C$92,'Anexo III - Serviços'!$B$21:$B$92,'Fator R'!$B49),0)+IFERROR(SUMIFS('Anexo IV - Serviços'!$C$21:$C$92,'Anexo IV - Serviços'!$B$21:$B$92,'Fator R'!$B49),0)+IFERROR(SUMIFS('Anexo V - Serviços'!$C$21:$C$92,'Anexo V - Serviços'!$B$21:$B$92,'Fator R'!$B49),0)</f>
        <v>0</v>
      </c>
      <c r="D49" s="95"/>
      <c r="E49" s="107" t="str">
        <f>IF('Fator R'!$D49="","",IFERROR((SUMIFS('Fator R'!$D$13:$D$84,'Fator R'!$B$13:$B$84,IF(MATCH('Fator R'!$B49,'Fator R'!$B$13:$B$84,0)=1,"=","&lt;")&amp;'Fator R'!$B49,'Fator R'!$B$13:$B$84,"&gt;="&amp;IF(MATCH('Fator R'!$B49,'Fator R'!$B$13:$B$84,0)&lt;12,T_DtIni[DATA INICIAL],EDATE('Fator R'!$B49,-12)))/(IF(MATCH('Fator R'!$B49,'Fator R'!$B$13:$B$84,0)&gt;12,12,MATCH('Fator R'!$B49,'Fator R'!$B$13:$B$84,0)))*12)/(SUMIFS('Fator R'!$C$13:$C$84,'Fator R'!$B$13:$B$84,IF(MATCH('Fator R'!$B49,'Fator R'!$B$13:$B$84,0)=1,"=","&lt;")&amp;'Fator R'!$B49,'Fator R'!$B$13:$B$84,"&gt;="&amp;IF(MATCH('Fator R'!$B49,'Fator R'!$B$13:$B$84,0)&lt;12,T_DtIni[DATA INICIAL],EDATE('Fator R'!$B49,-12)))/(IF(MATCH('Fator R'!$B49,'Fator R'!$B$13:$B$84,0)&gt;12,12,MATCH('Fator R'!$B49,'Fator R'!$B$13:$B$84,0)))*12),0))</f>
        <v/>
      </c>
      <c r="F49" s="108" t="str">
        <f>IF('Fator R'!$D49="","",IF('Fator R'!$E49&gt;=T_BaseFatorR[FATOR R],"Anexo III","Anexo V"))</f>
        <v/>
      </c>
    </row>
    <row r="50" spans="2:6" ht="15.6" x14ac:dyDescent="0.3">
      <c r="B50" s="105">
        <f>EDATE(T_DtIni[DATA INICIAL],ROW()-ROW('Fator R'!$B$12)-1)</f>
        <v>43862</v>
      </c>
      <c r="C50" s="106">
        <f>IFERROR(SUMIFS('Anexo I - Comércio'!$C$21:$C$92,'Anexo I - Comércio'!$B$21:$B$92,'Fator R'!$B50),0)+IFERROR(SUMIFS('Anexo II - Indústria'!$C$21:$C$92,'Anexo II - Indústria'!$B$21:$B$92,'Fator R'!$B50),0)+IFERROR(SUMIFS('Anexo III - Serviços'!$C$21:$C$92,'Anexo III - Serviços'!$B$21:$B$92,'Fator R'!$B50),0)+IFERROR(SUMIFS('Anexo IV - Serviços'!$C$21:$C$92,'Anexo IV - Serviços'!$B$21:$B$92,'Fator R'!$B50),0)+IFERROR(SUMIFS('Anexo V - Serviços'!$C$21:$C$92,'Anexo V - Serviços'!$B$21:$B$92,'Fator R'!$B50),0)</f>
        <v>0</v>
      </c>
      <c r="D50" s="95"/>
      <c r="E50" s="107" t="str">
        <f>IF('Fator R'!$D50="","",IFERROR((SUMIFS('Fator R'!$D$13:$D$84,'Fator R'!$B$13:$B$84,IF(MATCH('Fator R'!$B50,'Fator R'!$B$13:$B$84,0)=1,"=","&lt;")&amp;'Fator R'!$B50,'Fator R'!$B$13:$B$84,"&gt;="&amp;IF(MATCH('Fator R'!$B50,'Fator R'!$B$13:$B$84,0)&lt;12,T_DtIni[DATA INICIAL],EDATE('Fator R'!$B50,-12)))/(IF(MATCH('Fator R'!$B50,'Fator R'!$B$13:$B$84,0)&gt;12,12,MATCH('Fator R'!$B50,'Fator R'!$B$13:$B$84,0)))*12)/(SUMIFS('Fator R'!$C$13:$C$84,'Fator R'!$B$13:$B$84,IF(MATCH('Fator R'!$B50,'Fator R'!$B$13:$B$84,0)=1,"=","&lt;")&amp;'Fator R'!$B50,'Fator R'!$B$13:$B$84,"&gt;="&amp;IF(MATCH('Fator R'!$B50,'Fator R'!$B$13:$B$84,0)&lt;12,T_DtIni[DATA INICIAL],EDATE('Fator R'!$B50,-12)))/(IF(MATCH('Fator R'!$B50,'Fator R'!$B$13:$B$84,0)&gt;12,12,MATCH('Fator R'!$B50,'Fator R'!$B$13:$B$84,0)))*12),0))</f>
        <v/>
      </c>
      <c r="F50" s="108" t="str">
        <f>IF('Fator R'!$D50="","",IF('Fator R'!$E50&gt;=T_BaseFatorR[FATOR R],"Anexo III","Anexo V"))</f>
        <v/>
      </c>
    </row>
    <row r="51" spans="2:6" ht="15.6" x14ac:dyDescent="0.3">
      <c r="B51" s="105">
        <f>EDATE(T_DtIni[DATA INICIAL],ROW()-ROW('Fator R'!$B$12)-1)</f>
        <v>43891</v>
      </c>
      <c r="C51" s="106">
        <f>IFERROR(SUMIFS('Anexo I - Comércio'!$C$21:$C$92,'Anexo I - Comércio'!$B$21:$B$92,'Fator R'!$B51),0)+IFERROR(SUMIFS('Anexo II - Indústria'!$C$21:$C$92,'Anexo II - Indústria'!$B$21:$B$92,'Fator R'!$B51),0)+IFERROR(SUMIFS('Anexo III - Serviços'!$C$21:$C$92,'Anexo III - Serviços'!$B$21:$B$92,'Fator R'!$B51),0)+IFERROR(SUMIFS('Anexo IV - Serviços'!$C$21:$C$92,'Anexo IV - Serviços'!$B$21:$B$92,'Fator R'!$B51),0)+IFERROR(SUMIFS('Anexo V - Serviços'!$C$21:$C$92,'Anexo V - Serviços'!$B$21:$B$92,'Fator R'!$B51),0)</f>
        <v>0</v>
      </c>
      <c r="D51" s="95"/>
      <c r="E51" s="107" t="str">
        <f>IF('Fator R'!$D51="","",IFERROR((SUMIFS('Fator R'!$D$13:$D$84,'Fator R'!$B$13:$B$84,IF(MATCH('Fator R'!$B51,'Fator R'!$B$13:$B$84,0)=1,"=","&lt;")&amp;'Fator R'!$B51,'Fator R'!$B$13:$B$84,"&gt;="&amp;IF(MATCH('Fator R'!$B51,'Fator R'!$B$13:$B$84,0)&lt;12,T_DtIni[DATA INICIAL],EDATE('Fator R'!$B51,-12)))/(IF(MATCH('Fator R'!$B51,'Fator R'!$B$13:$B$84,0)&gt;12,12,MATCH('Fator R'!$B51,'Fator R'!$B$13:$B$84,0)))*12)/(SUMIFS('Fator R'!$C$13:$C$84,'Fator R'!$B$13:$B$84,IF(MATCH('Fator R'!$B51,'Fator R'!$B$13:$B$84,0)=1,"=","&lt;")&amp;'Fator R'!$B51,'Fator R'!$B$13:$B$84,"&gt;="&amp;IF(MATCH('Fator R'!$B51,'Fator R'!$B$13:$B$84,0)&lt;12,T_DtIni[DATA INICIAL],EDATE('Fator R'!$B51,-12)))/(IF(MATCH('Fator R'!$B51,'Fator R'!$B$13:$B$84,0)&gt;12,12,MATCH('Fator R'!$B51,'Fator R'!$B$13:$B$84,0)))*12),0))</f>
        <v/>
      </c>
      <c r="F51" s="108" t="str">
        <f>IF('Fator R'!$D51="","",IF('Fator R'!$E51&gt;=T_BaseFatorR[FATOR R],"Anexo III","Anexo V"))</f>
        <v/>
      </c>
    </row>
    <row r="52" spans="2:6" ht="15.6" x14ac:dyDescent="0.3">
      <c r="B52" s="105">
        <f>EDATE(T_DtIni[DATA INICIAL],ROW()-ROW('Fator R'!$B$12)-1)</f>
        <v>43922</v>
      </c>
      <c r="C52" s="106">
        <f>IFERROR(SUMIFS('Anexo I - Comércio'!$C$21:$C$92,'Anexo I - Comércio'!$B$21:$B$92,'Fator R'!$B52),0)+IFERROR(SUMIFS('Anexo II - Indústria'!$C$21:$C$92,'Anexo II - Indústria'!$B$21:$B$92,'Fator R'!$B52),0)+IFERROR(SUMIFS('Anexo III - Serviços'!$C$21:$C$92,'Anexo III - Serviços'!$B$21:$B$92,'Fator R'!$B52),0)+IFERROR(SUMIFS('Anexo IV - Serviços'!$C$21:$C$92,'Anexo IV - Serviços'!$B$21:$B$92,'Fator R'!$B52),0)+IFERROR(SUMIFS('Anexo V - Serviços'!$C$21:$C$92,'Anexo V - Serviços'!$B$21:$B$92,'Fator R'!$B52),0)</f>
        <v>0</v>
      </c>
      <c r="D52" s="95"/>
      <c r="E52" s="107" t="str">
        <f>IF('Fator R'!$D52="","",IFERROR((SUMIFS('Fator R'!$D$13:$D$84,'Fator R'!$B$13:$B$84,IF(MATCH('Fator R'!$B52,'Fator R'!$B$13:$B$84,0)=1,"=","&lt;")&amp;'Fator R'!$B52,'Fator R'!$B$13:$B$84,"&gt;="&amp;IF(MATCH('Fator R'!$B52,'Fator R'!$B$13:$B$84,0)&lt;12,T_DtIni[DATA INICIAL],EDATE('Fator R'!$B52,-12)))/(IF(MATCH('Fator R'!$B52,'Fator R'!$B$13:$B$84,0)&gt;12,12,MATCH('Fator R'!$B52,'Fator R'!$B$13:$B$84,0)))*12)/(SUMIFS('Fator R'!$C$13:$C$84,'Fator R'!$B$13:$B$84,IF(MATCH('Fator R'!$B52,'Fator R'!$B$13:$B$84,0)=1,"=","&lt;")&amp;'Fator R'!$B52,'Fator R'!$B$13:$B$84,"&gt;="&amp;IF(MATCH('Fator R'!$B52,'Fator R'!$B$13:$B$84,0)&lt;12,T_DtIni[DATA INICIAL],EDATE('Fator R'!$B52,-12)))/(IF(MATCH('Fator R'!$B52,'Fator R'!$B$13:$B$84,0)&gt;12,12,MATCH('Fator R'!$B52,'Fator R'!$B$13:$B$84,0)))*12),0))</f>
        <v/>
      </c>
      <c r="F52" s="108" t="str">
        <f>IF('Fator R'!$D52="","",IF('Fator R'!$E52&gt;=T_BaseFatorR[FATOR R],"Anexo III","Anexo V"))</f>
        <v/>
      </c>
    </row>
    <row r="53" spans="2:6" ht="15.6" x14ac:dyDescent="0.3">
      <c r="B53" s="105">
        <f>EDATE(T_DtIni[DATA INICIAL],ROW()-ROW('Fator R'!$B$12)-1)</f>
        <v>43952</v>
      </c>
      <c r="C53" s="106">
        <f>IFERROR(SUMIFS('Anexo I - Comércio'!$C$21:$C$92,'Anexo I - Comércio'!$B$21:$B$92,'Fator R'!$B53),0)+IFERROR(SUMIFS('Anexo II - Indústria'!$C$21:$C$92,'Anexo II - Indústria'!$B$21:$B$92,'Fator R'!$B53),0)+IFERROR(SUMIFS('Anexo III - Serviços'!$C$21:$C$92,'Anexo III - Serviços'!$B$21:$B$92,'Fator R'!$B53),0)+IFERROR(SUMIFS('Anexo IV - Serviços'!$C$21:$C$92,'Anexo IV - Serviços'!$B$21:$B$92,'Fator R'!$B53),0)+IFERROR(SUMIFS('Anexo V - Serviços'!$C$21:$C$92,'Anexo V - Serviços'!$B$21:$B$92,'Fator R'!$B53),0)</f>
        <v>0</v>
      </c>
      <c r="D53" s="95"/>
      <c r="E53" s="107" t="str">
        <f>IF('Fator R'!$D53="","",IFERROR((SUMIFS('Fator R'!$D$13:$D$84,'Fator R'!$B$13:$B$84,IF(MATCH('Fator R'!$B53,'Fator R'!$B$13:$B$84,0)=1,"=","&lt;")&amp;'Fator R'!$B53,'Fator R'!$B$13:$B$84,"&gt;="&amp;IF(MATCH('Fator R'!$B53,'Fator R'!$B$13:$B$84,0)&lt;12,T_DtIni[DATA INICIAL],EDATE('Fator R'!$B53,-12)))/(IF(MATCH('Fator R'!$B53,'Fator R'!$B$13:$B$84,0)&gt;12,12,MATCH('Fator R'!$B53,'Fator R'!$B$13:$B$84,0)))*12)/(SUMIFS('Fator R'!$C$13:$C$84,'Fator R'!$B$13:$B$84,IF(MATCH('Fator R'!$B53,'Fator R'!$B$13:$B$84,0)=1,"=","&lt;")&amp;'Fator R'!$B53,'Fator R'!$B$13:$B$84,"&gt;="&amp;IF(MATCH('Fator R'!$B53,'Fator R'!$B$13:$B$84,0)&lt;12,T_DtIni[DATA INICIAL],EDATE('Fator R'!$B53,-12)))/(IF(MATCH('Fator R'!$B53,'Fator R'!$B$13:$B$84,0)&gt;12,12,MATCH('Fator R'!$B53,'Fator R'!$B$13:$B$84,0)))*12),0))</f>
        <v/>
      </c>
      <c r="F53" s="108" t="str">
        <f>IF('Fator R'!$D53="","",IF('Fator R'!$E53&gt;=T_BaseFatorR[FATOR R],"Anexo III","Anexo V"))</f>
        <v/>
      </c>
    </row>
    <row r="54" spans="2:6" ht="15.6" x14ac:dyDescent="0.3">
      <c r="B54" s="105">
        <f>EDATE(T_DtIni[DATA INICIAL],ROW()-ROW('Fator R'!$B$12)-1)</f>
        <v>43983</v>
      </c>
      <c r="C54" s="106">
        <f>IFERROR(SUMIFS('Anexo I - Comércio'!$C$21:$C$92,'Anexo I - Comércio'!$B$21:$B$92,'Fator R'!$B54),0)+IFERROR(SUMIFS('Anexo II - Indústria'!$C$21:$C$92,'Anexo II - Indústria'!$B$21:$B$92,'Fator R'!$B54),0)+IFERROR(SUMIFS('Anexo III - Serviços'!$C$21:$C$92,'Anexo III - Serviços'!$B$21:$B$92,'Fator R'!$B54),0)+IFERROR(SUMIFS('Anexo IV - Serviços'!$C$21:$C$92,'Anexo IV - Serviços'!$B$21:$B$92,'Fator R'!$B54),0)+IFERROR(SUMIFS('Anexo V - Serviços'!$C$21:$C$92,'Anexo V - Serviços'!$B$21:$B$92,'Fator R'!$B54),0)</f>
        <v>0</v>
      </c>
      <c r="D54" s="95"/>
      <c r="E54" s="107" t="str">
        <f>IF('Fator R'!$D54="","",IFERROR((SUMIFS('Fator R'!$D$13:$D$84,'Fator R'!$B$13:$B$84,IF(MATCH('Fator R'!$B54,'Fator R'!$B$13:$B$84,0)=1,"=","&lt;")&amp;'Fator R'!$B54,'Fator R'!$B$13:$B$84,"&gt;="&amp;IF(MATCH('Fator R'!$B54,'Fator R'!$B$13:$B$84,0)&lt;12,T_DtIni[DATA INICIAL],EDATE('Fator R'!$B54,-12)))/(IF(MATCH('Fator R'!$B54,'Fator R'!$B$13:$B$84,0)&gt;12,12,MATCH('Fator R'!$B54,'Fator R'!$B$13:$B$84,0)))*12)/(SUMIFS('Fator R'!$C$13:$C$84,'Fator R'!$B$13:$B$84,IF(MATCH('Fator R'!$B54,'Fator R'!$B$13:$B$84,0)=1,"=","&lt;")&amp;'Fator R'!$B54,'Fator R'!$B$13:$B$84,"&gt;="&amp;IF(MATCH('Fator R'!$B54,'Fator R'!$B$13:$B$84,0)&lt;12,T_DtIni[DATA INICIAL],EDATE('Fator R'!$B54,-12)))/(IF(MATCH('Fator R'!$B54,'Fator R'!$B$13:$B$84,0)&gt;12,12,MATCH('Fator R'!$B54,'Fator R'!$B$13:$B$84,0)))*12),0))</f>
        <v/>
      </c>
      <c r="F54" s="108" t="str">
        <f>IF('Fator R'!$D54="","",IF('Fator R'!$E54&gt;=T_BaseFatorR[FATOR R],"Anexo III","Anexo V"))</f>
        <v/>
      </c>
    </row>
    <row r="55" spans="2:6" ht="15.6" x14ac:dyDescent="0.3">
      <c r="B55" s="105">
        <f>EDATE(T_DtIni[DATA INICIAL],ROW()-ROW('Fator R'!$B$12)-1)</f>
        <v>44013</v>
      </c>
      <c r="C55" s="106">
        <f>IFERROR(SUMIFS('Anexo I - Comércio'!$C$21:$C$92,'Anexo I - Comércio'!$B$21:$B$92,'Fator R'!$B55),0)+IFERROR(SUMIFS('Anexo II - Indústria'!$C$21:$C$92,'Anexo II - Indústria'!$B$21:$B$92,'Fator R'!$B55),0)+IFERROR(SUMIFS('Anexo III - Serviços'!$C$21:$C$92,'Anexo III - Serviços'!$B$21:$B$92,'Fator R'!$B55),0)+IFERROR(SUMIFS('Anexo IV - Serviços'!$C$21:$C$92,'Anexo IV - Serviços'!$B$21:$B$92,'Fator R'!$B55),0)+IFERROR(SUMIFS('Anexo V - Serviços'!$C$21:$C$92,'Anexo V - Serviços'!$B$21:$B$92,'Fator R'!$B55),0)</f>
        <v>0</v>
      </c>
      <c r="D55" s="95"/>
      <c r="E55" s="107" t="str">
        <f>IF('Fator R'!$D55="","",IFERROR((SUMIFS('Fator R'!$D$13:$D$84,'Fator R'!$B$13:$B$84,IF(MATCH('Fator R'!$B55,'Fator R'!$B$13:$B$84,0)=1,"=","&lt;")&amp;'Fator R'!$B55,'Fator R'!$B$13:$B$84,"&gt;="&amp;IF(MATCH('Fator R'!$B55,'Fator R'!$B$13:$B$84,0)&lt;12,T_DtIni[DATA INICIAL],EDATE('Fator R'!$B55,-12)))/(IF(MATCH('Fator R'!$B55,'Fator R'!$B$13:$B$84,0)&gt;12,12,MATCH('Fator R'!$B55,'Fator R'!$B$13:$B$84,0)))*12)/(SUMIFS('Fator R'!$C$13:$C$84,'Fator R'!$B$13:$B$84,IF(MATCH('Fator R'!$B55,'Fator R'!$B$13:$B$84,0)=1,"=","&lt;")&amp;'Fator R'!$B55,'Fator R'!$B$13:$B$84,"&gt;="&amp;IF(MATCH('Fator R'!$B55,'Fator R'!$B$13:$B$84,0)&lt;12,T_DtIni[DATA INICIAL],EDATE('Fator R'!$B55,-12)))/(IF(MATCH('Fator R'!$B55,'Fator R'!$B$13:$B$84,0)&gt;12,12,MATCH('Fator R'!$B55,'Fator R'!$B$13:$B$84,0)))*12),0))</f>
        <v/>
      </c>
      <c r="F55" s="108" t="str">
        <f>IF('Fator R'!$D55="","",IF('Fator R'!$E55&gt;=T_BaseFatorR[FATOR R],"Anexo III","Anexo V"))</f>
        <v/>
      </c>
    </row>
    <row r="56" spans="2:6" ht="15.6" x14ac:dyDescent="0.3">
      <c r="B56" s="105">
        <f>EDATE(T_DtIni[DATA INICIAL],ROW()-ROW('Fator R'!$B$12)-1)</f>
        <v>44044</v>
      </c>
      <c r="C56" s="106">
        <f>IFERROR(SUMIFS('Anexo I - Comércio'!$C$21:$C$92,'Anexo I - Comércio'!$B$21:$B$92,'Fator R'!$B56),0)+IFERROR(SUMIFS('Anexo II - Indústria'!$C$21:$C$92,'Anexo II - Indústria'!$B$21:$B$92,'Fator R'!$B56),0)+IFERROR(SUMIFS('Anexo III - Serviços'!$C$21:$C$92,'Anexo III - Serviços'!$B$21:$B$92,'Fator R'!$B56),0)+IFERROR(SUMIFS('Anexo IV - Serviços'!$C$21:$C$92,'Anexo IV - Serviços'!$B$21:$B$92,'Fator R'!$B56),0)+IFERROR(SUMIFS('Anexo V - Serviços'!$C$21:$C$92,'Anexo V - Serviços'!$B$21:$B$92,'Fator R'!$B56),0)</f>
        <v>0</v>
      </c>
      <c r="D56" s="95"/>
      <c r="E56" s="107" t="str">
        <f>IF('Fator R'!$D56="","",IFERROR((SUMIFS('Fator R'!$D$13:$D$84,'Fator R'!$B$13:$B$84,IF(MATCH('Fator R'!$B56,'Fator R'!$B$13:$B$84,0)=1,"=","&lt;")&amp;'Fator R'!$B56,'Fator R'!$B$13:$B$84,"&gt;="&amp;IF(MATCH('Fator R'!$B56,'Fator R'!$B$13:$B$84,0)&lt;12,T_DtIni[DATA INICIAL],EDATE('Fator R'!$B56,-12)))/(IF(MATCH('Fator R'!$B56,'Fator R'!$B$13:$B$84,0)&gt;12,12,MATCH('Fator R'!$B56,'Fator R'!$B$13:$B$84,0)))*12)/(SUMIFS('Fator R'!$C$13:$C$84,'Fator R'!$B$13:$B$84,IF(MATCH('Fator R'!$B56,'Fator R'!$B$13:$B$84,0)=1,"=","&lt;")&amp;'Fator R'!$B56,'Fator R'!$B$13:$B$84,"&gt;="&amp;IF(MATCH('Fator R'!$B56,'Fator R'!$B$13:$B$84,0)&lt;12,T_DtIni[DATA INICIAL],EDATE('Fator R'!$B56,-12)))/(IF(MATCH('Fator R'!$B56,'Fator R'!$B$13:$B$84,0)&gt;12,12,MATCH('Fator R'!$B56,'Fator R'!$B$13:$B$84,0)))*12),0))</f>
        <v/>
      </c>
      <c r="F56" s="108" t="str">
        <f>IF('Fator R'!$D56="","",IF('Fator R'!$E56&gt;=T_BaseFatorR[FATOR R],"Anexo III","Anexo V"))</f>
        <v/>
      </c>
    </row>
    <row r="57" spans="2:6" ht="15.6" x14ac:dyDescent="0.3">
      <c r="B57" s="105">
        <f>EDATE(T_DtIni[DATA INICIAL],ROW()-ROW('Fator R'!$B$12)-1)</f>
        <v>44075</v>
      </c>
      <c r="C57" s="106">
        <f>IFERROR(SUMIFS('Anexo I - Comércio'!$C$21:$C$92,'Anexo I - Comércio'!$B$21:$B$92,'Fator R'!$B57),0)+IFERROR(SUMIFS('Anexo II - Indústria'!$C$21:$C$92,'Anexo II - Indústria'!$B$21:$B$92,'Fator R'!$B57),0)+IFERROR(SUMIFS('Anexo III - Serviços'!$C$21:$C$92,'Anexo III - Serviços'!$B$21:$B$92,'Fator R'!$B57),0)+IFERROR(SUMIFS('Anexo IV - Serviços'!$C$21:$C$92,'Anexo IV - Serviços'!$B$21:$B$92,'Fator R'!$B57),0)+IFERROR(SUMIFS('Anexo V - Serviços'!$C$21:$C$92,'Anexo V - Serviços'!$B$21:$B$92,'Fator R'!$B57),0)</f>
        <v>0</v>
      </c>
      <c r="D57" s="95"/>
      <c r="E57" s="107" t="str">
        <f>IF('Fator R'!$D57="","",IFERROR((SUMIFS('Fator R'!$D$13:$D$84,'Fator R'!$B$13:$B$84,IF(MATCH('Fator R'!$B57,'Fator R'!$B$13:$B$84,0)=1,"=","&lt;")&amp;'Fator R'!$B57,'Fator R'!$B$13:$B$84,"&gt;="&amp;IF(MATCH('Fator R'!$B57,'Fator R'!$B$13:$B$84,0)&lt;12,T_DtIni[DATA INICIAL],EDATE('Fator R'!$B57,-12)))/(IF(MATCH('Fator R'!$B57,'Fator R'!$B$13:$B$84,0)&gt;12,12,MATCH('Fator R'!$B57,'Fator R'!$B$13:$B$84,0)))*12)/(SUMIFS('Fator R'!$C$13:$C$84,'Fator R'!$B$13:$B$84,IF(MATCH('Fator R'!$B57,'Fator R'!$B$13:$B$84,0)=1,"=","&lt;")&amp;'Fator R'!$B57,'Fator R'!$B$13:$B$84,"&gt;="&amp;IF(MATCH('Fator R'!$B57,'Fator R'!$B$13:$B$84,0)&lt;12,T_DtIni[DATA INICIAL],EDATE('Fator R'!$B57,-12)))/(IF(MATCH('Fator R'!$B57,'Fator R'!$B$13:$B$84,0)&gt;12,12,MATCH('Fator R'!$B57,'Fator R'!$B$13:$B$84,0)))*12),0))</f>
        <v/>
      </c>
      <c r="F57" s="108" t="str">
        <f>IF('Fator R'!$D57="","",IF('Fator R'!$E57&gt;=T_BaseFatorR[FATOR R],"Anexo III","Anexo V"))</f>
        <v/>
      </c>
    </row>
    <row r="58" spans="2:6" ht="15.6" x14ac:dyDescent="0.3">
      <c r="B58" s="105">
        <f>EDATE(T_DtIni[DATA INICIAL],ROW()-ROW('Fator R'!$B$12)-1)</f>
        <v>44105</v>
      </c>
      <c r="C58" s="106">
        <f>IFERROR(SUMIFS('Anexo I - Comércio'!$C$21:$C$92,'Anexo I - Comércio'!$B$21:$B$92,'Fator R'!$B58),0)+IFERROR(SUMIFS('Anexo II - Indústria'!$C$21:$C$92,'Anexo II - Indústria'!$B$21:$B$92,'Fator R'!$B58),0)+IFERROR(SUMIFS('Anexo III - Serviços'!$C$21:$C$92,'Anexo III - Serviços'!$B$21:$B$92,'Fator R'!$B58),0)+IFERROR(SUMIFS('Anexo IV - Serviços'!$C$21:$C$92,'Anexo IV - Serviços'!$B$21:$B$92,'Fator R'!$B58),0)+IFERROR(SUMIFS('Anexo V - Serviços'!$C$21:$C$92,'Anexo V - Serviços'!$B$21:$B$92,'Fator R'!$B58),0)</f>
        <v>0</v>
      </c>
      <c r="D58" s="95"/>
      <c r="E58" s="107" t="str">
        <f>IF('Fator R'!$D58="","",IFERROR((SUMIFS('Fator R'!$D$13:$D$84,'Fator R'!$B$13:$B$84,IF(MATCH('Fator R'!$B58,'Fator R'!$B$13:$B$84,0)=1,"=","&lt;")&amp;'Fator R'!$B58,'Fator R'!$B$13:$B$84,"&gt;="&amp;IF(MATCH('Fator R'!$B58,'Fator R'!$B$13:$B$84,0)&lt;12,T_DtIni[DATA INICIAL],EDATE('Fator R'!$B58,-12)))/(IF(MATCH('Fator R'!$B58,'Fator R'!$B$13:$B$84,0)&gt;12,12,MATCH('Fator R'!$B58,'Fator R'!$B$13:$B$84,0)))*12)/(SUMIFS('Fator R'!$C$13:$C$84,'Fator R'!$B$13:$B$84,IF(MATCH('Fator R'!$B58,'Fator R'!$B$13:$B$84,0)=1,"=","&lt;")&amp;'Fator R'!$B58,'Fator R'!$B$13:$B$84,"&gt;="&amp;IF(MATCH('Fator R'!$B58,'Fator R'!$B$13:$B$84,0)&lt;12,T_DtIni[DATA INICIAL],EDATE('Fator R'!$B58,-12)))/(IF(MATCH('Fator R'!$B58,'Fator R'!$B$13:$B$84,0)&gt;12,12,MATCH('Fator R'!$B58,'Fator R'!$B$13:$B$84,0)))*12),0))</f>
        <v/>
      </c>
      <c r="F58" s="108" t="str">
        <f>IF('Fator R'!$D58="","",IF('Fator R'!$E58&gt;=T_BaseFatorR[FATOR R],"Anexo III","Anexo V"))</f>
        <v/>
      </c>
    </row>
    <row r="59" spans="2:6" ht="15.6" x14ac:dyDescent="0.3">
      <c r="B59" s="105">
        <f>EDATE(T_DtIni[DATA INICIAL],ROW()-ROW('Fator R'!$B$12)-1)</f>
        <v>44136</v>
      </c>
      <c r="C59" s="106">
        <f>IFERROR(SUMIFS('Anexo I - Comércio'!$C$21:$C$92,'Anexo I - Comércio'!$B$21:$B$92,'Fator R'!$B59),0)+IFERROR(SUMIFS('Anexo II - Indústria'!$C$21:$C$92,'Anexo II - Indústria'!$B$21:$B$92,'Fator R'!$B59),0)+IFERROR(SUMIFS('Anexo III - Serviços'!$C$21:$C$92,'Anexo III - Serviços'!$B$21:$B$92,'Fator R'!$B59),0)+IFERROR(SUMIFS('Anexo IV - Serviços'!$C$21:$C$92,'Anexo IV - Serviços'!$B$21:$B$92,'Fator R'!$B59),0)+IFERROR(SUMIFS('Anexo V - Serviços'!$C$21:$C$92,'Anexo V - Serviços'!$B$21:$B$92,'Fator R'!$B59),0)</f>
        <v>0</v>
      </c>
      <c r="D59" s="95"/>
      <c r="E59" s="107" t="str">
        <f>IF('Fator R'!$D59="","",IFERROR((SUMIFS('Fator R'!$D$13:$D$84,'Fator R'!$B$13:$B$84,IF(MATCH('Fator R'!$B59,'Fator R'!$B$13:$B$84,0)=1,"=","&lt;")&amp;'Fator R'!$B59,'Fator R'!$B$13:$B$84,"&gt;="&amp;IF(MATCH('Fator R'!$B59,'Fator R'!$B$13:$B$84,0)&lt;12,T_DtIni[DATA INICIAL],EDATE('Fator R'!$B59,-12)))/(IF(MATCH('Fator R'!$B59,'Fator R'!$B$13:$B$84,0)&gt;12,12,MATCH('Fator R'!$B59,'Fator R'!$B$13:$B$84,0)))*12)/(SUMIFS('Fator R'!$C$13:$C$84,'Fator R'!$B$13:$B$84,IF(MATCH('Fator R'!$B59,'Fator R'!$B$13:$B$84,0)=1,"=","&lt;")&amp;'Fator R'!$B59,'Fator R'!$B$13:$B$84,"&gt;="&amp;IF(MATCH('Fator R'!$B59,'Fator R'!$B$13:$B$84,0)&lt;12,T_DtIni[DATA INICIAL],EDATE('Fator R'!$B59,-12)))/(IF(MATCH('Fator R'!$B59,'Fator R'!$B$13:$B$84,0)&gt;12,12,MATCH('Fator R'!$B59,'Fator R'!$B$13:$B$84,0)))*12),0))</f>
        <v/>
      </c>
      <c r="F59" s="108" t="str">
        <f>IF('Fator R'!$D59="","",IF('Fator R'!$E59&gt;=T_BaseFatorR[FATOR R],"Anexo III","Anexo V"))</f>
        <v/>
      </c>
    </row>
    <row r="60" spans="2:6" ht="15.6" x14ac:dyDescent="0.3">
      <c r="B60" s="105">
        <f>EDATE(T_DtIni[DATA INICIAL],ROW()-ROW('Fator R'!$B$12)-1)</f>
        <v>44166</v>
      </c>
      <c r="C60" s="106">
        <f>IFERROR(SUMIFS('Anexo I - Comércio'!$C$21:$C$92,'Anexo I - Comércio'!$B$21:$B$92,'Fator R'!$B60),0)+IFERROR(SUMIFS('Anexo II - Indústria'!$C$21:$C$92,'Anexo II - Indústria'!$B$21:$B$92,'Fator R'!$B60),0)+IFERROR(SUMIFS('Anexo III - Serviços'!$C$21:$C$92,'Anexo III - Serviços'!$B$21:$B$92,'Fator R'!$B60),0)+IFERROR(SUMIFS('Anexo IV - Serviços'!$C$21:$C$92,'Anexo IV - Serviços'!$B$21:$B$92,'Fator R'!$B60),0)+IFERROR(SUMIFS('Anexo V - Serviços'!$C$21:$C$92,'Anexo V - Serviços'!$B$21:$B$92,'Fator R'!$B60),0)</f>
        <v>0</v>
      </c>
      <c r="D60" s="95"/>
      <c r="E60" s="107" t="str">
        <f>IF('Fator R'!$D60="","",IFERROR((SUMIFS('Fator R'!$D$13:$D$84,'Fator R'!$B$13:$B$84,IF(MATCH('Fator R'!$B60,'Fator R'!$B$13:$B$84,0)=1,"=","&lt;")&amp;'Fator R'!$B60,'Fator R'!$B$13:$B$84,"&gt;="&amp;IF(MATCH('Fator R'!$B60,'Fator R'!$B$13:$B$84,0)&lt;12,T_DtIni[DATA INICIAL],EDATE('Fator R'!$B60,-12)))/(IF(MATCH('Fator R'!$B60,'Fator R'!$B$13:$B$84,0)&gt;12,12,MATCH('Fator R'!$B60,'Fator R'!$B$13:$B$84,0)))*12)/(SUMIFS('Fator R'!$C$13:$C$84,'Fator R'!$B$13:$B$84,IF(MATCH('Fator R'!$B60,'Fator R'!$B$13:$B$84,0)=1,"=","&lt;")&amp;'Fator R'!$B60,'Fator R'!$B$13:$B$84,"&gt;="&amp;IF(MATCH('Fator R'!$B60,'Fator R'!$B$13:$B$84,0)&lt;12,T_DtIni[DATA INICIAL],EDATE('Fator R'!$B60,-12)))/(IF(MATCH('Fator R'!$B60,'Fator R'!$B$13:$B$84,0)&gt;12,12,MATCH('Fator R'!$B60,'Fator R'!$B$13:$B$84,0)))*12),0))</f>
        <v/>
      </c>
      <c r="F60" s="108" t="str">
        <f>IF('Fator R'!$D60="","",IF('Fator R'!$E60&gt;=T_BaseFatorR[FATOR R],"Anexo III","Anexo V"))</f>
        <v/>
      </c>
    </row>
    <row r="61" spans="2:6" ht="15.6" x14ac:dyDescent="0.3">
      <c r="B61" s="105">
        <f>EDATE(T_DtIni[DATA INICIAL],ROW()-ROW('Fator R'!$B$12)-1)</f>
        <v>44197</v>
      </c>
      <c r="C61" s="106">
        <f>IFERROR(SUMIFS('Anexo I - Comércio'!$C$21:$C$92,'Anexo I - Comércio'!$B$21:$B$92,'Fator R'!$B61),0)+IFERROR(SUMIFS('Anexo II - Indústria'!$C$21:$C$92,'Anexo II - Indústria'!$B$21:$B$92,'Fator R'!$B61),0)+IFERROR(SUMIFS('Anexo III - Serviços'!$C$21:$C$92,'Anexo III - Serviços'!$B$21:$B$92,'Fator R'!$B61),0)+IFERROR(SUMIFS('Anexo IV - Serviços'!$C$21:$C$92,'Anexo IV - Serviços'!$B$21:$B$92,'Fator R'!$B61),0)+IFERROR(SUMIFS('Anexo V - Serviços'!$C$21:$C$92,'Anexo V - Serviços'!$B$21:$B$92,'Fator R'!$B61),0)</f>
        <v>0</v>
      </c>
      <c r="D61" s="95"/>
      <c r="E61" s="107" t="str">
        <f>IF('Fator R'!$D61="","",IFERROR((SUMIFS('Fator R'!$D$13:$D$84,'Fator R'!$B$13:$B$84,IF(MATCH('Fator R'!$B61,'Fator R'!$B$13:$B$84,0)=1,"=","&lt;")&amp;'Fator R'!$B61,'Fator R'!$B$13:$B$84,"&gt;="&amp;IF(MATCH('Fator R'!$B61,'Fator R'!$B$13:$B$84,0)&lt;12,T_DtIni[DATA INICIAL],EDATE('Fator R'!$B61,-12)))/(IF(MATCH('Fator R'!$B61,'Fator R'!$B$13:$B$84,0)&gt;12,12,MATCH('Fator R'!$B61,'Fator R'!$B$13:$B$84,0)))*12)/(SUMIFS('Fator R'!$C$13:$C$84,'Fator R'!$B$13:$B$84,IF(MATCH('Fator R'!$B61,'Fator R'!$B$13:$B$84,0)=1,"=","&lt;")&amp;'Fator R'!$B61,'Fator R'!$B$13:$B$84,"&gt;="&amp;IF(MATCH('Fator R'!$B61,'Fator R'!$B$13:$B$84,0)&lt;12,T_DtIni[DATA INICIAL],EDATE('Fator R'!$B61,-12)))/(IF(MATCH('Fator R'!$B61,'Fator R'!$B$13:$B$84,0)&gt;12,12,MATCH('Fator R'!$B61,'Fator R'!$B$13:$B$84,0)))*12),0))</f>
        <v/>
      </c>
      <c r="F61" s="108" t="str">
        <f>IF('Fator R'!$D61="","",IF('Fator R'!$E61&gt;=T_BaseFatorR[FATOR R],"Anexo III","Anexo V"))</f>
        <v/>
      </c>
    </row>
    <row r="62" spans="2:6" ht="15.6" x14ac:dyDescent="0.3">
      <c r="B62" s="105">
        <f>EDATE(T_DtIni[DATA INICIAL],ROW()-ROW('Fator R'!$B$12)-1)</f>
        <v>44228</v>
      </c>
      <c r="C62" s="106">
        <f>IFERROR(SUMIFS('Anexo I - Comércio'!$C$21:$C$92,'Anexo I - Comércio'!$B$21:$B$92,'Fator R'!$B62),0)+IFERROR(SUMIFS('Anexo II - Indústria'!$C$21:$C$92,'Anexo II - Indústria'!$B$21:$B$92,'Fator R'!$B62),0)+IFERROR(SUMIFS('Anexo III - Serviços'!$C$21:$C$92,'Anexo III - Serviços'!$B$21:$B$92,'Fator R'!$B62),0)+IFERROR(SUMIFS('Anexo IV - Serviços'!$C$21:$C$92,'Anexo IV - Serviços'!$B$21:$B$92,'Fator R'!$B62),0)+IFERROR(SUMIFS('Anexo V - Serviços'!$C$21:$C$92,'Anexo V - Serviços'!$B$21:$B$92,'Fator R'!$B62),0)</f>
        <v>0</v>
      </c>
      <c r="D62" s="95"/>
      <c r="E62" s="107" t="str">
        <f>IF('Fator R'!$D62="","",IFERROR((SUMIFS('Fator R'!$D$13:$D$84,'Fator R'!$B$13:$B$84,IF(MATCH('Fator R'!$B62,'Fator R'!$B$13:$B$84,0)=1,"=","&lt;")&amp;'Fator R'!$B62,'Fator R'!$B$13:$B$84,"&gt;="&amp;IF(MATCH('Fator R'!$B62,'Fator R'!$B$13:$B$84,0)&lt;12,T_DtIni[DATA INICIAL],EDATE('Fator R'!$B62,-12)))/(IF(MATCH('Fator R'!$B62,'Fator R'!$B$13:$B$84,0)&gt;12,12,MATCH('Fator R'!$B62,'Fator R'!$B$13:$B$84,0)))*12)/(SUMIFS('Fator R'!$C$13:$C$84,'Fator R'!$B$13:$B$84,IF(MATCH('Fator R'!$B62,'Fator R'!$B$13:$B$84,0)=1,"=","&lt;")&amp;'Fator R'!$B62,'Fator R'!$B$13:$B$84,"&gt;="&amp;IF(MATCH('Fator R'!$B62,'Fator R'!$B$13:$B$84,0)&lt;12,T_DtIni[DATA INICIAL],EDATE('Fator R'!$B62,-12)))/(IF(MATCH('Fator R'!$B62,'Fator R'!$B$13:$B$84,0)&gt;12,12,MATCH('Fator R'!$B62,'Fator R'!$B$13:$B$84,0)))*12),0))</f>
        <v/>
      </c>
      <c r="F62" s="108" t="str">
        <f>IF('Fator R'!$D62="","",IF('Fator R'!$E62&gt;=T_BaseFatorR[FATOR R],"Anexo III","Anexo V"))</f>
        <v/>
      </c>
    </row>
    <row r="63" spans="2:6" ht="15.6" x14ac:dyDescent="0.3">
      <c r="B63" s="105">
        <f>EDATE(T_DtIni[DATA INICIAL],ROW()-ROW('Fator R'!$B$12)-1)</f>
        <v>44256</v>
      </c>
      <c r="C63" s="106">
        <f>IFERROR(SUMIFS('Anexo I - Comércio'!$C$21:$C$92,'Anexo I - Comércio'!$B$21:$B$92,'Fator R'!$B63),0)+IFERROR(SUMIFS('Anexo II - Indústria'!$C$21:$C$92,'Anexo II - Indústria'!$B$21:$B$92,'Fator R'!$B63),0)+IFERROR(SUMIFS('Anexo III - Serviços'!$C$21:$C$92,'Anexo III - Serviços'!$B$21:$B$92,'Fator R'!$B63),0)+IFERROR(SUMIFS('Anexo IV - Serviços'!$C$21:$C$92,'Anexo IV - Serviços'!$B$21:$B$92,'Fator R'!$B63),0)+IFERROR(SUMIFS('Anexo V - Serviços'!$C$21:$C$92,'Anexo V - Serviços'!$B$21:$B$92,'Fator R'!$B63),0)</f>
        <v>0</v>
      </c>
      <c r="D63" s="95"/>
      <c r="E63" s="107" t="str">
        <f>IF('Fator R'!$D63="","",IFERROR((SUMIFS('Fator R'!$D$13:$D$84,'Fator R'!$B$13:$B$84,IF(MATCH('Fator R'!$B63,'Fator R'!$B$13:$B$84,0)=1,"=","&lt;")&amp;'Fator R'!$B63,'Fator R'!$B$13:$B$84,"&gt;="&amp;IF(MATCH('Fator R'!$B63,'Fator R'!$B$13:$B$84,0)&lt;12,T_DtIni[DATA INICIAL],EDATE('Fator R'!$B63,-12)))/(IF(MATCH('Fator R'!$B63,'Fator R'!$B$13:$B$84,0)&gt;12,12,MATCH('Fator R'!$B63,'Fator R'!$B$13:$B$84,0)))*12)/(SUMIFS('Fator R'!$C$13:$C$84,'Fator R'!$B$13:$B$84,IF(MATCH('Fator R'!$B63,'Fator R'!$B$13:$B$84,0)=1,"=","&lt;")&amp;'Fator R'!$B63,'Fator R'!$B$13:$B$84,"&gt;="&amp;IF(MATCH('Fator R'!$B63,'Fator R'!$B$13:$B$84,0)&lt;12,T_DtIni[DATA INICIAL],EDATE('Fator R'!$B63,-12)))/(IF(MATCH('Fator R'!$B63,'Fator R'!$B$13:$B$84,0)&gt;12,12,MATCH('Fator R'!$B63,'Fator R'!$B$13:$B$84,0)))*12),0))</f>
        <v/>
      </c>
      <c r="F63" s="108" t="str">
        <f>IF('Fator R'!$D63="","",IF('Fator R'!$E63&gt;=T_BaseFatorR[FATOR R],"Anexo III","Anexo V"))</f>
        <v/>
      </c>
    </row>
    <row r="64" spans="2:6" ht="15.6" x14ac:dyDescent="0.3">
      <c r="B64" s="105">
        <f>EDATE(T_DtIni[DATA INICIAL],ROW()-ROW('Fator R'!$B$12)-1)</f>
        <v>44287</v>
      </c>
      <c r="C64" s="106">
        <f>IFERROR(SUMIFS('Anexo I - Comércio'!$C$21:$C$92,'Anexo I - Comércio'!$B$21:$B$92,'Fator R'!$B64),0)+IFERROR(SUMIFS('Anexo II - Indústria'!$C$21:$C$92,'Anexo II - Indústria'!$B$21:$B$92,'Fator R'!$B64),0)+IFERROR(SUMIFS('Anexo III - Serviços'!$C$21:$C$92,'Anexo III - Serviços'!$B$21:$B$92,'Fator R'!$B64),0)+IFERROR(SUMIFS('Anexo IV - Serviços'!$C$21:$C$92,'Anexo IV - Serviços'!$B$21:$B$92,'Fator R'!$B64),0)+IFERROR(SUMIFS('Anexo V - Serviços'!$C$21:$C$92,'Anexo V - Serviços'!$B$21:$B$92,'Fator R'!$B64),0)</f>
        <v>0</v>
      </c>
      <c r="D64" s="95"/>
      <c r="E64" s="107" t="str">
        <f>IF('Fator R'!$D64="","",IFERROR((SUMIFS('Fator R'!$D$13:$D$84,'Fator R'!$B$13:$B$84,IF(MATCH('Fator R'!$B64,'Fator R'!$B$13:$B$84,0)=1,"=","&lt;")&amp;'Fator R'!$B64,'Fator R'!$B$13:$B$84,"&gt;="&amp;IF(MATCH('Fator R'!$B64,'Fator R'!$B$13:$B$84,0)&lt;12,T_DtIni[DATA INICIAL],EDATE('Fator R'!$B64,-12)))/(IF(MATCH('Fator R'!$B64,'Fator R'!$B$13:$B$84,0)&gt;12,12,MATCH('Fator R'!$B64,'Fator R'!$B$13:$B$84,0)))*12)/(SUMIFS('Fator R'!$C$13:$C$84,'Fator R'!$B$13:$B$84,IF(MATCH('Fator R'!$B64,'Fator R'!$B$13:$B$84,0)=1,"=","&lt;")&amp;'Fator R'!$B64,'Fator R'!$B$13:$B$84,"&gt;="&amp;IF(MATCH('Fator R'!$B64,'Fator R'!$B$13:$B$84,0)&lt;12,T_DtIni[DATA INICIAL],EDATE('Fator R'!$B64,-12)))/(IF(MATCH('Fator R'!$B64,'Fator R'!$B$13:$B$84,0)&gt;12,12,MATCH('Fator R'!$B64,'Fator R'!$B$13:$B$84,0)))*12),0))</f>
        <v/>
      </c>
      <c r="F64" s="108" t="str">
        <f>IF('Fator R'!$D64="","",IF('Fator R'!$E64&gt;=T_BaseFatorR[FATOR R],"Anexo III","Anexo V"))</f>
        <v/>
      </c>
    </row>
    <row r="65" spans="2:6" ht="15.6" x14ac:dyDescent="0.3">
      <c r="B65" s="105">
        <f>EDATE(T_DtIni[DATA INICIAL],ROW()-ROW('Fator R'!$B$12)-1)</f>
        <v>44317</v>
      </c>
      <c r="C65" s="106">
        <f>IFERROR(SUMIFS('Anexo I - Comércio'!$C$21:$C$92,'Anexo I - Comércio'!$B$21:$B$92,'Fator R'!$B65),0)+IFERROR(SUMIFS('Anexo II - Indústria'!$C$21:$C$92,'Anexo II - Indústria'!$B$21:$B$92,'Fator R'!$B65),0)+IFERROR(SUMIFS('Anexo III - Serviços'!$C$21:$C$92,'Anexo III - Serviços'!$B$21:$B$92,'Fator R'!$B65),0)+IFERROR(SUMIFS('Anexo IV - Serviços'!$C$21:$C$92,'Anexo IV - Serviços'!$B$21:$B$92,'Fator R'!$B65),0)+IFERROR(SUMIFS('Anexo V - Serviços'!$C$21:$C$92,'Anexo V - Serviços'!$B$21:$B$92,'Fator R'!$B65),0)</f>
        <v>0</v>
      </c>
      <c r="D65" s="95"/>
      <c r="E65" s="107" t="str">
        <f>IF('Fator R'!$D65="","",IFERROR((SUMIFS('Fator R'!$D$13:$D$84,'Fator R'!$B$13:$B$84,IF(MATCH('Fator R'!$B65,'Fator R'!$B$13:$B$84,0)=1,"=","&lt;")&amp;'Fator R'!$B65,'Fator R'!$B$13:$B$84,"&gt;="&amp;IF(MATCH('Fator R'!$B65,'Fator R'!$B$13:$B$84,0)&lt;12,T_DtIni[DATA INICIAL],EDATE('Fator R'!$B65,-12)))/(IF(MATCH('Fator R'!$B65,'Fator R'!$B$13:$B$84,0)&gt;12,12,MATCH('Fator R'!$B65,'Fator R'!$B$13:$B$84,0)))*12)/(SUMIFS('Fator R'!$C$13:$C$84,'Fator R'!$B$13:$B$84,IF(MATCH('Fator R'!$B65,'Fator R'!$B$13:$B$84,0)=1,"=","&lt;")&amp;'Fator R'!$B65,'Fator R'!$B$13:$B$84,"&gt;="&amp;IF(MATCH('Fator R'!$B65,'Fator R'!$B$13:$B$84,0)&lt;12,T_DtIni[DATA INICIAL],EDATE('Fator R'!$B65,-12)))/(IF(MATCH('Fator R'!$B65,'Fator R'!$B$13:$B$84,0)&gt;12,12,MATCH('Fator R'!$B65,'Fator R'!$B$13:$B$84,0)))*12),0))</f>
        <v/>
      </c>
      <c r="F65" s="108" t="str">
        <f>IF('Fator R'!$D65="","",IF('Fator R'!$E65&gt;=T_BaseFatorR[FATOR R],"Anexo III","Anexo V"))</f>
        <v/>
      </c>
    </row>
    <row r="66" spans="2:6" ht="15.6" x14ac:dyDescent="0.3">
      <c r="B66" s="105">
        <f>EDATE(T_DtIni[DATA INICIAL],ROW()-ROW('Fator R'!$B$12)-1)</f>
        <v>44348</v>
      </c>
      <c r="C66" s="106">
        <f>IFERROR(SUMIFS('Anexo I - Comércio'!$C$21:$C$92,'Anexo I - Comércio'!$B$21:$B$92,'Fator R'!$B66),0)+IFERROR(SUMIFS('Anexo II - Indústria'!$C$21:$C$92,'Anexo II - Indústria'!$B$21:$B$92,'Fator R'!$B66),0)+IFERROR(SUMIFS('Anexo III - Serviços'!$C$21:$C$92,'Anexo III - Serviços'!$B$21:$B$92,'Fator R'!$B66),0)+IFERROR(SUMIFS('Anexo IV - Serviços'!$C$21:$C$92,'Anexo IV - Serviços'!$B$21:$B$92,'Fator R'!$B66),0)+IFERROR(SUMIFS('Anexo V - Serviços'!$C$21:$C$92,'Anexo V - Serviços'!$B$21:$B$92,'Fator R'!$B66),0)</f>
        <v>0</v>
      </c>
      <c r="D66" s="95"/>
      <c r="E66" s="107" t="str">
        <f>IF('Fator R'!$D66="","",IFERROR((SUMIFS('Fator R'!$D$13:$D$84,'Fator R'!$B$13:$B$84,IF(MATCH('Fator R'!$B66,'Fator R'!$B$13:$B$84,0)=1,"=","&lt;")&amp;'Fator R'!$B66,'Fator R'!$B$13:$B$84,"&gt;="&amp;IF(MATCH('Fator R'!$B66,'Fator R'!$B$13:$B$84,0)&lt;12,T_DtIni[DATA INICIAL],EDATE('Fator R'!$B66,-12)))/(IF(MATCH('Fator R'!$B66,'Fator R'!$B$13:$B$84,0)&gt;12,12,MATCH('Fator R'!$B66,'Fator R'!$B$13:$B$84,0)))*12)/(SUMIFS('Fator R'!$C$13:$C$84,'Fator R'!$B$13:$B$84,IF(MATCH('Fator R'!$B66,'Fator R'!$B$13:$B$84,0)=1,"=","&lt;")&amp;'Fator R'!$B66,'Fator R'!$B$13:$B$84,"&gt;="&amp;IF(MATCH('Fator R'!$B66,'Fator R'!$B$13:$B$84,0)&lt;12,T_DtIni[DATA INICIAL],EDATE('Fator R'!$B66,-12)))/(IF(MATCH('Fator R'!$B66,'Fator R'!$B$13:$B$84,0)&gt;12,12,MATCH('Fator R'!$B66,'Fator R'!$B$13:$B$84,0)))*12),0))</f>
        <v/>
      </c>
      <c r="F66" s="108" t="str">
        <f>IF('Fator R'!$D66="","",IF('Fator R'!$E66&gt;=T_BaseFatorR[FATOR R],"Anexo III","Anexo V"))</f>
        <v/>
      </c>
    </row>
    <row r="67" spans="2:6" ht="15.6" x14ac:dyDescent="0.3">
      <c r="B67" s="105">
        <f>EDATE(T_DtIni[DATA INICIAL],ROW()-ROW('Fator R'!$B$12)-1)</f>
        <v>44378</v>
      </c>
      <c r="C67" s="106">
        <f>IFERROR(SUMIFS('Anexo I - Comércio'!$C$21:$C$92,'Anexo I - Comércio'!$B$21:$B$92,'Fator R'!$B67),0)+IFERROR(SUMIFS('Anexo II - Indústria'!$C$21:$C$92,'Anexo II - Indústria'!$B$21:$B$92,'Fator R'!$B67),0)+IFERROR(SUMIFS('Anexo III - Serviços'!$C$21:$C$92,'Anexo III - Serviços'!$B$21:$B$92,'Fator R'!$B67),0)+IFERROR(SUMIFS('Anexo IV - Serviços'!$C$21:$C$92,'Anexo IV - Serviços'!$B$21:$B$92,'Fator R'!$B67),0)+IFERROR(SUMIFS('Anexo V - Serviços'!$C$21:$C$92,'Anexo V - Serviços'!$B$21:$B$92,'Fator R'!$B67),0)</f>
        <v>0</v>
      </c>
      <c r="D67" s="95"/>
      <c r="E67" s="107" t="str">
        <f>IF('Fator R'!$D67="","",IFERROR((SUMIFS('Fator R'!$D$13:$D$84,'Fator R'!$B$13:$B$84,IF(MATCH('Fator R'!$B67,'Fator R'!$B$13:$B$84,0)=1,"=","&lt;")&amp;'Fator R'!$B67,'Fator R'!$B$13:$B$84,"&gt;="&amp;IF(MATCH('Fator R'!$B67,'Fator R'!$B$13:$B$84,0)&lt;12,T_DtIni[DATA INICIAL],EDATE('Fator R'!$B67,-12)))/(IF(MATCH('Fator R'!$B67,'Fator R'!$B$13:$B$84,0)&gt;12,12,MATCH('Fator R'!$B67,'Fator R'!$B$13:$B$84,0)))*12)/(SUMIFS('Fator R'!$C$13:$C$84,'Fator R'!$B$13:$B$84,IF(MATCH('Fator R'!$B67,'Fator R'!$B$13:$B$84,0)=1,"=","&lt;")&amp;'Fator R'!$B67,'Fator R'!$B$13:$B$84,"&gt;="&amp;IF(MATCH('Fator R'!$B67,'Fator R'!$B$13:$B$84,0)&lt;12,T_DtIni[DATA INICIAL],EDATE('Fator R'!$B67,-12)))/(IF(MATCH('Fator R'!$B67,'Fator R'!$B$13:$B$84,0)&gt;12,12,MATCH('Fator R'!$B67,'Fator R'!$B$13:$B$84,0)))*12),0))</f>
        <v/>
      </c>
      <c r="F67" s="108" t="str">
        <f>IF('Fator R'!$D67="","",IF('Fator R'!$E67&gt;=T_BaseFatorR[FATOR R],"Anexo III","Anexo V"))</f>
        <v/>
      </c>
    </row>
    <row r="68" spans="2:6" ht="15.6" x14ac:dyDescent="0.3">
      <c r="B68" s="105">
        <f>EDATE(T_DtIni[DATA INICIAL],ROW()-ROW('Fator R'!$B$12)-1)</f>
        <v>44409</v>
      </c>
      <c r="C68" s="106">
        <f>IFERROR(SUMIFS('Anexo I - Comércio'!$C$21:$C$92,'Anexo I - Comércio'!$B$21:$B$92,'Fator R'!$B68),0)+IFERROR(SUMIFS('Anexo II - Indústria'!$C$21:$C$92,'Anexo II - Indústria'!$B$21:$B$92,'Fator R'!$B68),0)+IFERROR(SUMIFS('Anexo III - Serviços'!$C$21:$C$92,'Anexo III - Serviços'!$B$21:$B$92,'Fator R'!$B68),0)+IFERROR(SUMIFS('Anexo IV - Serviços'!$C$21:$C$92,'Anexo IV - Serviços'!$B$21:$B$92,'Fator R'!$B68),0)+IFERROR(SUMIFS('Anexo V - Serviços'!$C$21:$C$92,'Anexo V - Serviços'!$B$21:$B$92,'Fator R'!$B68),0)</f>
        <v>0</v>
      </c>
      <c r="D68" s="95"/>
      <c r="E68" s="107" t="str">
        <f>IF('Fator R'!$D68="","",IFERROR((SUMIFS('Fator R'!$D$13:$D$84,'Fator R'!$B$13:$B$84,IF(MATCH('Fator R'!$B68,'Fator R'!$B$13:$B$84,0)=1,"=","&lt;")&amp;'Fator R'!$B68,'Fator R'!$B$13:$B$84,"&gt;="&amp;IF(MATCH('Fator R'!$B68,'Fator R'!$B$13:$B$84,0)&lt;12,T_DtIni[DATA INICIAL],EDATE('Fator R'!$B68,-12)))/(IF(MATCH('Fator R'!$B68,'Fator R'!$B$13:$B$84,0)&gt;12,12,MATCH('Fator R'!$B68,'Fator R'!$B$13:$B$84,0)))*12)/(SUMIFS('Fator R'!$C$13:$C$84,'Fator R'!$B$13:$B$84,IF(MATCH('Fator R'!$B68,'Fator R'!$B$13:$B$84,0)=1,"=","&lt;")&amp;'Fator R'!$B68,'Fator R'!$B$13:$B$84,"&gt;="&amp;IF(MATCH('Fator R'!$B68,'Fator R'!$B$13:$B$84,0)&lt;12,T_DtIni[DATA INICIAL],EDATE('Fator R'!$B68,-12)))/(IF(MATCH('Fator R'!$B68,'Fator R'!$B$13:$B$84,0)&gt;12,12,MATCH('Fator R'!$B68,'Fator R'!$B$13:$B$84,0)))*12),0))</f>
        <v/>
      </c>
      <c r="F68" s="108" t="str">
        <f>IF('Fator R'!$D68="","",IF('Fator R'!$E68&gt;=T_BaseFatorR[FATOR R],"Anexo III","Anexo V"))</f>
        <v/>
      </c>
    </row>
    <row r="69" spans="2:6" ht="15.6" x14ac:dyDescent="0.3">
      <c r="B69" s="105">
        <f>EDATE(T_DtIni[DATA INICIAL],ROW()-ROW('Fator R'!$B$12)-1)</f>
        <v>44440</v>
      </c>
      <c r="C69" s="106">
        <f>IFERROR(SUMIFS('Anexo I - Comércio'!$C$21:$C$92,'Anexo I - Comércio'!$B$21:$B$92,'Fator R'!$B69),0)+IFERROR(SUMIFS('Anexo II - Indústria'!$C$21:$C$92,'Anexo II - Indústria'!$B$21:$B$92,'Fator R'!$B69),0)+IFERROR(SUMIFS('Anexo III - Serviços'!$C$21:$C$92,'Anexo III - Serviços'!$B$21:$B$92,'Fator R'!$B69),0)+IFERROR(SUMIFS('Anexo IV - Serviços'!$C$21:$C$92,'Anexo IV - Serviços'!$B$21:$B$92,'Fator R'!$B69),0)+IFERROR(SUMIFS('Anexo V - Serviços'!$C$21:$C$92,'Anexo V - Serviços'!$B$21:$B$92,'Fator R'!$B69),0)</f>
        <v>0</v>
      </c>
      <c r="D69" s="95"/>
      <c r="E69" s="107" t="str">
        <f>IF('Fator R'!$D69="","",IFERROR((SUMIFS('Fator R'!$D$13:$D$84,'Fator R'!$B$13:$B$84,IF(MATCH('Fator R'!$B69,'Fator R'!$B$13:$B$84,0)=1,"=","&lt;")&amp;'Fator R'!$B69,'Fator R'!$B$13:$B$84,"&gt;="&amp;IF(MATCH('Fator R'!$B69,'Fator R'!$B$13:$B$84,0)&lt;12,T_DtIni[DATA INICIAL],EDATE('Fator R'!$B69,-12)))/(IF(MATCH('Fator R'!$B69,'Fator R'!$B$13:$B$84,0)&gt;12,12,MATCH('Fator R'!$B69,'Fator R'!$B$13:$B$84,0)))*12)/(SUMIFS('Fator R'!$C$13:$C$84,'Fator R'!$B$13:$B$84,IF(MATCH('Fator R'!$B69,'Fator R'!$B$13:$B$84,0)=1,"=","&lt;")&amp;'Fator R'!$B69,'Fator R'!$B$13:$B$84,"&gt;="&amp;IF(MATCH('Fator R'!$B69,'Fator R'!$B$13:$B$84,0)&lt;12,T_DtIni[DATA INICIAL],EDATE('Fator R'!$B69,-12)))/(IF(MATCH('Fator R'!$B69,'Fator R'!$B$13:$B$84,0)&gt;12,12,MATCH('Fator R'!$B69,'Fator R'!$B$13:$B$84,0)))*12),0))</f>
        <v/>
      </c>
      <c r="F69" s="108" t="str">
        <f>IF('Fator R'!$D69="","",IF('Fator R'!$E69&gt;=T_BaseFatorR[FATOR R],"Anexo III","Anexo V"))</f>
        <v/>
      </c>
    </row>
    <row r="70" spans="2:6" ht="15.6" x14ac:dyDescent="0.3">
      <c r="B70" s="105">
        <f>EDATE(T_DtIni[DATA INICIAL],ROW()-ROW('Fator R'!$B$12)-1)</f>
        <v>44470</v>
      </c>
      <c r="C70" s="106">
        <f>IFERROR(SUMIFS('Anexo I - Comércio'!$C$21:$C$92,'Anexo I - Comércio'!$B$21:$B$92,'Fator R'!$B70),0)+IFERROR(SUMIFS('Anexo II - Indústria'!$C$21:$C$92,'Anexo II - Indústria'!$B$21:$B$92,'Fator R'!$B70),0)+IFERROR(SUMIFS('Anexo III - Serviços'!$C$21:$C$92,'Anexo III - Serviços'!$B$21:$B$92,'Fator R'!$B70),0)+IFERROR(SUMIFS('Anexo IV - Serviços'!$C$21:$C$92,'Anexo IV - Serviços'!$B$21:$B$92,'Fator R'!$B70),0)+IFERROR(SUMIFS('Anexo V - Serviços'!$C$21:$C$92,'Anexo V - Serviços'!$B$21:$B$92,'Fator R'!$B70),0)</f>
        <v>0</v>
      </c>
      <c r="D70" s="95"/>
      <c r="E70" s="107" t="str">
        <f>IF('Fator R'!$D70="","",IFERROR((SUMIFS('Fator R'!$D$13:$D$84,'Fator R'!$B$13:$B$84,IF(MATCH('Fator R'!$B70,'Fator R'!$B$13:$B$84,0)=1,"=","&lt;")&amp;'Fator R'!$B70,'Fator R'!$B$13:$B$84,"&gt;="&amp;IF(MATCH('Fator R'!$B70,'Fator R'!$B$13:$B$84,0)&lt;12,T_DtIni[DATA INICIAL],EDATE('Fator R'!$B70,-12)))/(IF(MATCH('Fator R'!$B70,'Fator R'!$B$13:$B$84,0)&gt;12,12,MATCH('Fator R'!$B70,'Fator R'!$B$13:$B$84,0)))*12)/(SUMIFS('Fator R'!$C$13:$C$84,'Fator R'!$B$13:$B$84,IF(MATCH('Fator R'!$B70,'Fator R'!$B$13:$B$84,0)=1,"=","&lt;")&amp;'Fator R'!$B70,'Fator R'!$B$13:$B$84,"&gt;="&amp;IF(MATCH('Fator R'!$B70,'Fator R'!$B$13:$B$84,0)&lt;12,T_DtIni[DATA INICIAL],EDATE('Fator R'!$B70,-12)))/(IF(MATCH('Fator R'!$B70,'Fator R'!$B$13:$B$84,0)&gt;12,12,MATCH('Fator R'!$B70,'Fator R'!$B$13:$B$84,0)))*12),0))</f>
        <v/>
      </c>
      <c r="F70" s="108" t="str">
        <f>IF('Fator R'!$D70="","",IF('Fator R'!$E70&gt;=T_BaseFatorR[FATOR R],"Anexo III","Anexo V"))</f>
        <v/>
      </c>
    </row>
    <row r="71" spans="2:6" ht="15.6" x14ac:dyDescent="0.3">
      <c r="B71" s="105">
        <f>EDATE(T_DtIni[DATA INICIAL],ROW()-ROW('Fator R'!$B$12)-1)</f>
        <v>44501</v>
      </c>
      <c r="C71" s="106">
        <f>IFERROR(SUMIFS('Anexo I - Comércio'!$C$21:$C$92,'Anexo I - Comércio'!$B$21:$B$92,'Fator R'!$B71),0)+IFERROR(SUMIFS('Anexo II - Indústria'!$C$21:$C$92,'Anexo II - Indústria'!$B$21:$B$92,'Fator R'!$B71),0)+IFERROR(SUMIFS('Anexo III - Serviços'!$C$21:$C$92,'Anexo III - Serviços'!$B$21:$B$92,'Fator R'!$B71),0)+IFERROR(SUMIFS('Anexo IV - Serviços'!$C$21:$C$92,'Anexo IV - Serviços'!$B$21:$B$92,'Fator R'!$B71),0)+IFERROR(SUMIFS('Anexo V - Serviços'!$C$21:$C$92,'Anexo V - Serviços'!$B$21:$B$92,'Fator R'!$B71),0)</f>
        <v>0</v>
      </c>
      <c r="D71" s="95"/>
      <c r="E71" s="107" t="str">
        <f>IF('Fator R'!$D71="","",IFERROR((SUMIFS('Fator R'!$D$13:$D$84,'Fator R'!$B$13:$B$84,IF(MATCH('Fator R'!$B71,'Fator R'!$B$13:$B$84,0)=1,"=","&lt;")&amp;'Fator R'!$B71,'Fator R'!$B$13:$B$84,"&gt;="&amp;IF(MATCH('Fator R'!$B71,'Fator R'!$B$13:$B$84,0)&lt;12,T_DtIni[DATA INICIAL],EDATE('Fator R'!$B71,-12)))/(IF(MATCH('Fator R'!$B71,'Fator R'!$B$13:$B$84,0)&gt;12,12,MATCH('Fator R'!$B71,'Fator R'!$B$13:$B$84,0)))*12)/(SUMIFS('Fator R'!$C$13:$C$84,'Fator R'!$B$13:$B$84,IF(MATCH('Fator R'!$B71,'Fator R'!$B$13:$B$84,0)=1,"=","&lt;")&amp;'Fator R'!$B71,'Fator R'!$B$13:$B$84,"&gt;="&amp;IF(MATCH('Fator R'!$B71,'Fator R'!$B$13:$B$84,0)&lt;12,T_DtIni[DATA INICIAL],EDATE('Fator R'!$B71,-12)))/(IF(MATCH('Fator R'!$B71,'Fator R'!$B$13:$B$84,0)&gt;12,12,MATCH('Fator R'!$B71,'Fator R'!$B$13:$B$84,0)))*12),0))</f>
        <v/>
      </c>
      <c r="F71" s="108" t="str">
        <f>IF('Fator R'!$D71="","",IF('Fator R'!$E71&gt;=T_BaseFatorR[FATOR R],"Anexo III","Anexo V"))</f>
        <v/>
      </c>
    </row>
    <row r="72" spans="2:6" ht="15.6" x14ac:dyDescent="0.3">
      <c r="B72" s="105">
        <f>EDATE(T_DtIni[DATA INICIAL],ROW()-ROW('Fator R'!$B$12)-1)</f>
        <v>44531</v>
      </c>
      <c r="C72" s="106">
        <f>IFERROR(SUMIFS('Anexo I - Comércio'!$C$21:$C$92,'Anexo I - Comércio'!$B$21:$B$92,'Fator R'!$B72),0)+IFERROR(SUMIFS('Anexo II - Indústria'!$C$21:$C$92,'Anexo II - Indústria'!$B$21:$B$92,'Fator R'!$B72),0)+IFERROR(SUMIFS('Anexo III - Serviços'!$C$21:$C$92,'Anexo III - Serviços'!$B$21:$B$92,'Fator R'!$B72),0)+IFERROR(SUMIFS('Anexo IV - Serviços'!$C$21:$C$92,'Anexo IV - Serviços'!$B$21:$B$92,'Fator R'!$B72),0)+IFERROR(SUMIFS('Anexo V - Serviços'!$C$21:$C$92,'Anexo V - Serviços'!$B$21:$B$92,'Fator R'!$B72),0)</f>
        <v>0</v>
      </c>
      <c r="D72" s="95"/>
      <c r="E72" s="107" t="str">
        <f>IF('Fator R'!$D72="","",IFERROR((SUMIFS('Fator R'!$D$13:$D$84,'Fator R'!$B$13:$B$84,IF(MATCH('Fator R'!$B72,'Fator R'!$B$13:$B$84,0)=1,"=","&lt;")&amp;'Fator R'!$B72,'Fator R'!$B$13:$B$84,"&gt;="&amp;IF(MATCH('Fator R'!$B72,'Fator R'!$B$13:$B$84,0)&lt;12,T_DtIni[DATA INICIAL],EDATE('Fator R'!$B72,-12)))/(IF(MATCH('Fator R'!$B72,'Fator R'!$B$13:$B$84,0)&gt;12,12,MATCH('Fator R'!$B72,'Fator R'!$B$13:$B$84,0)))*12)/(SUMIFS('Fator R'!$C$13:$C$84,'Fator R'!$B$13:$B$84,IF(MATCH('Fator R'!$B72,'Fator R'!$B$13:$B$84,0)=1,"=","&lt;")&amp;'Fator R'!$B72,'Fator R'!$B$13:$B$84,"&gt;="&amp;IF(MATCH('Fator R'!$B72,'Fator R'!$B$13:$B$84,0)&lt;12,T_DtIni[DATA INICIAL],EDATE('Fator R'!$B72,-12)))/(IF(MATCH('Fator R'!$B72,'Fator R'!$B$13:$B$84,0)&gt;12,12,MATCH('Fator R'!$B72,'Fator R'!$B$13:$B$84,0)))*12),0))</f>
        <v/>
      </c>
      <c r="F72" s="108" t="str">
        <f>IF('Fator R'!$D72="","",IF('Fator R'!$E72&gt;=T_BaseFatorR[FATOR R],"Anexo III","Anexo V"))</f>
        <v/>
      </c>
    </row>
    <row r="73" spans="2:6" ht="15.6" x14ac:dyDescent="0.3">
      <c r="B73" s="105">
        <f>EDATE(T_DtIni[DATA INICIAL],ROW()-ROW('Fator R'!$B$12)-1)</f>
        <v>44562</v>
      </c>
      <c r="C73" s="106">
        <f>IFERROR(SUMIFS('Anexo I - Comércio'!$C$21:$C$92,'Anexo I - Comércio'!$B$21:$B$92,'Fator R'!$B73),0)+IFERROR(SUMIFS('Anexo II - Indústria'!$C$21:$C$92,'Anexo II - Indústria'!$B$21:$B$92,'Fator R'!$B73),0)+IFERROR(SUMIFS('Anexo III - Serviços'!$C$21:$C$92,'Anexo III - Serviços'!$B$21:$B$92,'Fator R'!$B73),0)+IFERROR(SUMIFS('Anexo IV - Serviços'!$C$21:$C$92,'Anexo IV - Serviços'!$B$21:$B$92,'Fator R'!$B73),0)+IFERROR(SUMIFS('Anexo V - Serviços'!$C$21:$C$92,'Anexo V - Serviços'!$B$21:$B$92,'Fator R'!$B73),0)</f>
        <v>0</v>
      </c>
      <c r="D73" s="95"/>
      <c r="E73" s="107" t="str">
        <f>IF('Fator R'!$D73="","",IFERROR((SUMIFS('Fator R'!$D$13:$D$84,'Fator R'!$B$13:$B$84,IF(MATCH('Fator R'!$B73,'Fator R'!$B$13:$B$84,0)=1,"=","&lt;")&amp;'Fator R'!$B73,'Fator R'!$B$13:$B$84,"&gt;="&amp;IF(MATCH('Fator R'!$B73,'Fator R'!$B$13:$B$84,0)&lt;12,T_DtIni[DATA INICIAL],EDATE('Fator R'!$B73,-12)))/(IF(MATCH('Fator R'!$B73,'Fator R'!$B$13:$B$84,0)&gt;12,12,MATCH('Fator R'!$B73,'Fator R'!$B$13:$B$84,0)))*12)/(SUMIFS('Fator R'!$C$13:$C$84,'Fator R'!$B$13:$B$84,IF(MATCH('Fator R'!$B73,'Fator R'!$B$13:$B$84,0)=1,"=","&lt;")&amp;'Fator R'!$B73,'Fator R'!$B$13:$B$84,"&gt;="&amp;IF(MATCH('Fator R'!$B73,'Fator R'!$B$13:$B$84,0)&lt;12,T_DtIni[DATA INICIAL],EDATE('Fator R'!$B73,-12)))/(IF(MATCH('Fator R'!$B73,'Fator R'!$B$13:$B$84,0)&gt;12,12,MATCH('Fator R'!$B73,'Fator R'!$B$13:$B$84,0)))*12),0))</f>
        <v/>
      </c>
      <c r="F73" s="108" t="str">
        <f>IF('Fator R'!$D73="","",IF('Fator R'!$E73&gt;=T_BaseFatorR[FATOR R],"Anexo III","Anexo V"))</f>
        <v/>
      </c>
    </row>
    <row r="74" spans="2:6" ht="15.6" x14ac:dyDescent="0.3">
      <c r="B74" s="105">
        <f>EDATE(T_DtIni[DATA INICIAL],ROW()-ROW('Fator R'!$B$12)-1)</f>
        <v>44593</v>
      </c>
      <c r="C74" s="106">
        <f>IFERROR(SUMIFS('Anexo I - Comércio'!$C$21:$C$92,'Anexo I - Comércio'!$B$21:$B$92,'Fator R'!$B74),0)+IFERROR(SUMIFS('Anexo II - Indústria'!$C$21:$C$92,'Anexo II - Indústria'!$B$21:$B$92,'Fator R'!$B74),0)+IFERROR(SUMIFS('Anexo III - Serviços'!$C$21:$C$92,'Anexo III - Serviços'!$B$21:$B$92,'Fator R'!$B74),0)+IFERROR(SUMIFS('Anexo IV - Serviços'!$C$21:$C$92,'Anexo IV - Serviços'!$B$21:$B$92,'Fator R'!$B74),0)+IFERROR(SUMIFS('Anexo V - Serviços'!$C$21:$C$92,'Anexo V - Serviços'!$B$21:$B$92,'Fator R'!$B74),0)</f>
        <v>0</v>
      </c>
      <c r="D74" s="95"/>
      <c r="E74" s="107" t="str">
        <f>IF('Fator R'!$D74="","",IFERROR((SUMIFS('Fator R'!$D$13:$D$84,'Fator R'!$B$13:$B$84,IF(MATCH('Fator R'!$B74,'Fator R'!$B$13:$B$84,0)=1,"=","&lt;")&amp;'Fator R'!$B74,'Fator R'!$B$13:$B$84,"&gt;="&amp;IF(MATCH('Fator R'!$B74,'Fator R'!$B$13:$B$84,0)&lt;12,T_DtIni[DATA INICIAL],EDATE('Fator R'!$B74,-12)))/(IF(MATCH('Fator R'!$B74,'Fator R'!$B$13:$B$84,0)&gt;12,12,MATCH('Fator R'!$B74,'Fator R'!$B$13:$B$84,0)))*12)/(SUMIFS('Fator R'!$C$13:$C$84,'Fator R'!$B$13:$B$84,IF(MATCH('Fator R'!$B74,'Fator R'!$B$13:$B$84,0)=1,"=","&lt;")&amp;'Fator R'!$B74,'Fator R'!$B$13:$B$84,"&gt;="&amp;IF(MATCH('Fator R'!$B74,'Fator R'!$B$13:$B$84,0)&lt;12,T_DtIni[DATA INICIAL],EDATE('Fator R'!$B74,-12)))/(IF(MATCH('Fator R'!$B74,'Fator R'!$B$13:$B$84,0)&gt;12,12,MATCH('Fator R'!$B74,'Fator R'!$B$13:$B$84,0)))*12),0))</f>
        <v/>
      </c>
      <c r="F74" s="108" t="str">
        <f>IF('Fator R'!$D74="","",IF('Fator R'!$E74&gt;=T_BaseFatorR[FATOR R],"Anexo III","Anexo V"))</f>
        <v/>
      </c>
    </row>
    <row r="75" spans="2:6" ht="15.6" x14ac:dyDescent="0.3">
      <c r="B75" s="105">
        <f>EDATE(T_DtIni[DATA INICIAL],ROW()-ROW('Fator R'!$B$12)-1)</f>
        <v>44621</v>
      </c>
      <c r="C75" s="106">
        <f>IFERROR(SUMIFS('Anexo I - Comércio'!$C$21:$C$92,'Anexo I - Comércio'!$B$21:$B$92,'Fator R'!$B75),0)+IFERROR(SUMIFS('Anexo II - Indústria'!$C$21:$C$92,'Anexo II - Indústria'!$B$21:$B$92,'Fator R'!$B75),0)+IFERROR(SUMIFS('Anexo III - Serviços'!$C$21:$C$92,'Anexo III - Serviços'!$B$21:$B$92,'Fator R'!$B75),0)+IFERROR(SUMIFS('Anexo IV - Serviços'!$C$21:$C$92,'Anexo IV - Serviços'!$B$21:$B$92,'Fator R'!$B75),0)+IFERROR(SUMIFS('Anexo V - Serviços'!$C$21:$C$92,'Anexo V - Serviços'!$B$21:$B$92,'Fator R'!$B75),0)</f>
        <v>0</v>
      </c>
      <c r="D75" s="95"/>
      <c r="E75" s="107" t="str">
        <f>IF('Fator R'!$D75="","",IFERROR((SUMIFS('Fator R'!$D$13:$D$84,'Fator R'!$B$13:$B$84,IF(MATCH('Fator R'!$B75,'Fator R'!$B$13:$B$84,0)=1,"=","&lt;")&amp;'Fator R'!$B75,'Fator R'!$B$13:$B$84,"&gt;="&amp;IF(MATCH('Fator R'!$B75,'Fator R'!$B$13:$B$84,0)&lt;12,T_DtIni[DATA INICIAL],EDATE('Fator R'!$B75,-12)))/(IF(MATCH('Fator R'!$B75,'Fator R'!$B$13:$B$84,0)&gt;12,12,MATCH('Fator R'!$B75,'Fator R'!$B$13:$B$84,0)))*12)/(SUMIFS('Fator R'!$C$13:$C$84,'Fator R'!$B$13:$B$84,IF(MATCH('Fator R'!$B75,'Fator R'!$B$13:$B$84,0)=1,"=","&lt;")&amp;'Fator R'!$B75,'Fator R'!$B$13:$B$84,"&gt;="&amp;IF(MATCH('Fator R'!$B75,'Fator R'!$B$13:$B$84,0)&lt;12,T_DtIni[DATA INICIAL],EDATE('Fator R'!$B75,-12)))/(IF(MATCH('Fator R'!$B75,'Fator R'!$B$13:$B$84,0)&gt;12,12,MATCH('Fator R'!$B75,'Fator R'!$B$13:$B$84,0)))*12),0))</f>
        <v/>
      </c>
      <c r="F75" s="108" t="str">
        <f>IF('Fator R'!$D75="","",IF('Fator R'!$E75&gt;=T_BaseFatorR[FATOR R],"Anexo III","Anexo V"))</f>
        <v/>
      </c>
    </row>
    <row r="76" spans="2:6" ht="15.6" x14ac:dyDescent="0.3">
      <c r="B76" s="105">
        <f>EDATE(T_DtIni[DATA INICIAL],ROW()-ROW('Fator R'!$B$12)-1)</f>
        <v>44652</v>
      </c>
      <c r="C76" s="106">
        <f>IFERROR(SUMIFS('Anexo I - Comércio'!$C$21:$C$92,'Anexo I - Comércio'!$B$21:$B$92,'Fator R'!$B76),0)+IFERROR(SUMIFS('Anexo II - Indústria'!$C$21:$C$92,'Anexo II - Indústria'!$B$21:$B$92,'Fator R'!$B76),0)+IFERROR(SUMIFS('Anexo III - Serviços'!$C$21:$C$92,'Anexo III - Serviços'!$B$21:$B$92,'Fator R'!$B76),0)+IFERROR(SUMIFS('Anexo IV - Serviços'!$C$21:$C$92,'Anexo IV - Serviços'!$B$21:$B$92,'Fator R'!$B76),0)+IFERROR(SUMIFS('Anexo V - Serviços'!$C$21:$C$92,'Anexo V - Serviços'!$B$21:$B$92,'Fator R'!$B76),0)</f>
        <v>0</v>
      </c>
      <c r="D76" s="95"/>
      <c r="E76" s="107" t="str">
        <f>IF('Fator R'!$D76="","",IFERROR((SUMIFS('Fator R'!$D$13:$D$84,'Fator R'!$B$13:$B$84,IF(MATCH('Fator R'!$B76,'Fator R'!$B$13:$B$84,0)=1,"=","&lt;")&amp;'Fator R'!$B76,'Fator R'!$B$13:$B$84,"&gt;="&amp;IF(MATCH('Fator R'!$B76,'Fator R'!$B$13:$B$84,0)&lt;12,T_DtIni[DATA INICIAL],EDATE('Fator R'!$B76,-12)))/(IF(MATCH('Fator R'!$B76,'Fator R'!$B$13:$B$84,0)&gt;12,12,MATCH('Fator R'!$B76,'Fator R'!$B$13:$B$84,0)))*12)/(SUMIFS('Fator R'!$C$13:$C$84,'Fator R'!$B$13:$B$84,IF(MATCH('Fator R'!$B76,'Fator R'!$B$13:$B$84,0)=1,"=","&lt;")&amp;'Fator R'!$B76,'Fator R'!$B$13:$B$84,"&gt;="&amp;IF(MATCH('Fator R'!$B76,'Fator R'!$B$13:$B$84,0)&lt;12,T_DtIni[DATA INICIAL],EDATE('Fator R'!$B76,-12)))/(IF(MATCH('Fator R'!$B76,'Fator R'!$B$13:$B$84,0)&gt;12,12,MATCH('Fator R'!$B76,'Fator R'!$B$13:$B$84,0)))*12),0))</f>
        <v/>
      </c>
      <c r="F76" s="108" t="str">
        <f>IF('Fator R'!$D76="","",IF('Fator R'!$E76&gt;=T_BaseFatorR[FATOR R],"Anexo III","Anexo V"))</f>
        <v/>
      </c>
    </row>
    <row r="77" spans="2:6" ht="15.6" x14ac:dyDescent="0.3">
      <c r="B77" s="105">
        <f>EDATE(T_DtIni[DATA INICIAL],ROW()-ROW('Fator R'!$B$12)-1)</f>
        <v>44682</v>
      </c>
      <c r="C77" s="106">
        <f>IFERROR(SUMIFS('Anexo I - Comércio'!$C$21:$C$92,'Anexo I - Comércio'!$B$21:$B$92,'Fator R'!$B77),0)+IFERROR(SUMIFS('Anexo II - Indústria'!$C$21:$C$92,'Anexo II - Indústria'!$B$21:$B$92,'Fator R'!$B77),0)+IFERROR(SUMIFS('Anexo III - Serviços'!$C$21:$C$92,'Anexo III - Serviços'!$B$21:$B$92,'Fator R'!$B77),0)+IFERROR(SUMIFS('Anexo IV - Serviços'!$C$21:$C$92,'Anexo IV - Serviços'!$B$21:$B$92,'Fator R'!$B77),0)+IFERROR(SUMIFS('Anexo V - Serviços'!$C$21:$C$92,'Anexo V - Serviços'!$B$21:$B$92,'Fator R'!$B77),0)</f>
        <v>0</v>
      </c>
      <c r="D77" s="95"/>
      <c r="E77" s="107" t="str">
        <f>IF('Fator R'!$D77="","",IFERROR((SUMIFS('Fator R'!$D$13:$D$84,'Fator R'!$B$13:$B$84,IF(MATCH('Fator R'!$B77,'Fator R'!$B$13:$B$84,0)=1,"=","&lt;")&amp;'Fator R'!$B77,'Fator R'!$B$13:$B$84,"&gt;="&amp;IF(MATCH('Fator R'!$B77,'Fator R'!$B$13:$B$84,0)&lt;12,T_DtIni[DATA INICIAL],EDATE('Fator R'!$B77,-12)))/(IF(MATCH('Fator R'!$B77,'Fator R'!$B$13:$B$84,0)&gt;12,12,MATCH('Fator R'!$B77,'Fator R'!$B$13:$B$84,0)))*12)/(SUMIFS('Fator R'!$C$13:$C$84,'Fator R'!$B$13:$B$84,IF(MATCH('Fator R'!$B77,'Fator R'!$B$13:$B$84,0)=1,"=","&lt;")&amp;'Fator R'!$B77,'Fator R'!$B$13:$B$84,"&gt;="&amp;IF(MATCH('Fator R'!$B77,'Fator R'!$B$13:$B$84,0)&lt;12,T_DtIni[DATA INICIAL],EDATE('Fator R'!$B77,-12)))/(IF(MATCH('Fator R'!$B77,'Fator R'!$B$13:$B$84,0)&gt;12,12,MATCH('Fator R'!$B77,'Fator R'!$B$13:$B$84,0)))*12),0))</f>
        <v/>
      </c>
      <c r="F77" s="108" t="str">
        <f>IF('Fator R'!$D77="","",IF('Fator R'!$E77&gt;=T_BaseFatorR[FATOR R],"Anexo III","Anexo V"))</f>
        <v/>
      </c>
    </row>
    <row r="78" spans="2:6" ht="15.6" x14ac:dyDescent="0.3">
      <c r="B78" s="105">
        <f>EDATE(T_DtIni[DATA INICIAL],ROW()-ROW('Fator R'!$B$12)-1)</f>
        <v>44713</v>
      </c>
      <c r="C78" s="106">
        <f>IFERROR(SUMIFS('Anexo I - Comércio'!$C$21:$C$92,'Anexo I - Comércio'!$B$21:$B$92,'Fator R'!$B78),0)+IFERROR(SUMIFS('Anexo II - Indústria'!$C$21:$C$92,'Anexo II - Indústria'!$B$21:$B$92,'Fator R'!$B78),0)+IFERROR(SUMIFS('Anexo III - Serviços'!$C$21:$C$92,'Anexo III - Serviços'!$B$21:$B$92,'Fator R'!$B78),0)+IFERROR(SUMIFS('Anexo IV - Serviços'!$C$21:$C$92,'Anexo IV - Serviços'!$B$21:$B$92,'Fator R'!$B78),0)+IFERROR(SUMIFS('Anexo V - Serviços'!$C$21:$C$92,'Anexo V - Serviços'!$B$21:$B$92,'Fator R'!$B78),0)</f>
        <v>0</v>
      </c>
      <c r="D78" s="95"/>
      <c r="E78" s="107" t="str">
        <f>IF('Fator R'!$D78="","",IFERROR((SUMIFS('Fator R'!$D$13:$D$84,'Fator R'!$B$13:$B$84,IF(MATCH('Fator R'!$B78,'Fator R'!$B$13:$B$84,0)=1,"=","&lt;")&amp;'Fator R'!$B78,'Fator R'!$B$13:$B$84,"&gt;="&amp;IF(MATCH('Fator R'!$B78,'Fator R'!$B$13:$B$84,0)&lt;12,T_DtIni[DATA INICIAL],EDATE('Fator R'!$B78,-12)))/(IF(MATCH('Fator R'!$B78,'Fator R'!$B$13:$B$84,0)&gt;12,12,MATCH('Fator R'!$B78,'Fator R'!$B$13:$B$84,0)))*12)/(SUMIFS('Fator R'!$C$13:$C$84,'Fator R'!$B$13:$B$84,IF(MATCH('Fator R'!$B78,'Fator R'!$B$13:$B$84,0)=1,"=","&lt;")&amp;'Fator R'!$B78,'Fator R'!$B$13:$B$84,"&gt;="&amp;IF(MATCH('Fator R'!$B78,'Fator R'!$B$13:$B$84,0)&lt;12,T_DtIni[DATA INICIAL],EDATE('Fator R'!$B78,-12)))/(IF(MATCH('Fator R'!$B78,'Fator R'!$B$13:$B$84,0)&gt;12,12,MATCH('Fator R'!$B78,'Fator R'!$B$13:$B$84,0)))*12),0))</f>
        <v/>
      </c>
      <c r="F78" s="108" t="str">
        <f>IF('Fator R'!$D78="","",IF('Fator R'!$E78&gt;=T_BaseFatorR[FATOR R],"Anexo III","Anexo V"))</f>
        <v/>
      </c>
    </row>
    <row r="79" spans="2:6" ht="15.6" x14ac:dyDescent="0.3">
      <c r="B79" s="105">
        <f>EDATE(T_DtIni[DATA INICIAL],ROW()-ROW('Fator R'!$B$12)-1)</f>
        <v>44743</v>
      </c>
      <c r="C79" s="106">
        <f>IFERROR(SUMIFS('Anexo I - Comércio'!$C$21:$C$92,'Anexo I - Comércio'!$B$21:$B$92,'Fator R'!$B79),0)+IFERROR(SUMIFS('Anexo II - Indústria'!$C$21:$C$92,'Anexo II - Indústria'!$B$21:$B$92,'Fator R'!$B79),0)+IFERROR(SUMIFS('Anexo III - Serviços'!$C$21:$C$92,'Anexo III - Serviços'!$B$21:$B$92,'Fator R'!$B79),0)+IFERROR(SUMIFS('Anexo IV - Serviços'!$C$21:$C$92,'Anexo IV - Serviços'!$B$21:$B$92,'Fator R'!$B79),0)+IFERROR(SUMIFS('Anexo V - Serviços'!$C$21:$C$92,'Anexo V - Serviços'!$B$21:$B$92,'Fator R'!$B79),0)</f>
        <v>0</v>
      </c>
      <c r="D79" s="95"/>
      <c r="E79" s="107" t="str">
        <f>IF('Fator R'!$D79="","",IFERROR((SUMIFS('Fator R'!$D$13:$D$84,'Fator R'!$B$13:$B$84,IF(MATCH('Fator R'!$B79,'Fator R'!$B$13:$B$84,0)=1,"=","&lt;")&amp;'Fator R'!$B79,'Fator R'!$B$13:$B$84,"&gt;="&amp;IF(MATCH('Fator R'!$B79,'Fator R'!$B$13:$B$84,0)&lt;12,T_DtIni[DATA INICIAL],EDATE('Fator R'!$B79,-12)))/(IF(MATCH('Fator R'!$B79,'Fator R'!$B$13:$B$84,0)&gt;12,12,MATCH('Fator R'!$B79,'Fator R'!$B$13:$B$84,0)))*12)/(SUMIFS('Fator R'!$C$13:$C$84,'Fator R'!$B$13:$B$84,IF(MATCH('Fator R'!$B79,'Fator R'!$B$13:$B$84,0)=1,"=","&lt;")&amp;'Fator R'!$B79,'Fator R'!$B$13:$B$84,"&gt;="&amp;IF(MATCH('Fator R'!$B79,'Fator R'!$B$13:$B$84,0)&lt;12,T_DtIni[DATA INICIAL],EDATE('Fator R'!$B79,-12)))/(IF(MATCH('Fator R'!$B79,'Fator R'!$B$13:$B$84,0)&gt;12,12,MATCH('Fator R'!$B79,'Fator R'!$B$13:$B$84,0)))*12),0))</f>
        <v/>
      </c>
      <c r="F79" s="108" t="str">
        <f>IF('Fator R'!$D79="","",IF('Fator R'!$E79&gt;=T_BaseFatorR[FATOR R],"Anexo III","Anexo V"))</f>
        <v/>
      </c>
    </row>
    <row r="80" spans="2:6" ht="15.6" x14ac:dyDescent="0.3">
      <c r="B80" s="105">
        <f>EDATE(T_DtIni[DATA INICIAL],ROW()-ROW('Fator R'!$B$12)-1)</f>
        <v>44774</v>
      </c>
      <c r="C80" s="106">
        <f>IFERROR(SUMIFS('Anexo I - Comércio'!$C$21:$C$92,'Anexo I - Comércio'!$B$21:$B$92,'Fator R'!$B80),0)+IFERROR(SUMIFS('Anexo II - Indústria'!$C$21:$C$92,'Anexo II - Indústria'!$B$21:$B$92,'Fator R'!$B80),0)+IFERROR(SUMIFS('Anexo III - Serviços'!$C$21:$C$92,'Anexo III - Serviços'!$B$21:$B$92,'Fator R'!$B80),0)+IFERROR(SUMIFS('Anexo IV - Serviços'!$C$21:$C$92,'Anexo IV - Serviços'!$B$21:$B$92,'Fator R'!$B80),0)+IFERROR(SUMIFS('Anexo V - Serviços'!$C$21:$C$92,'Anexo V - Serviços'!$B$21:$B$92,'Fator R'!$B80),0)</f>
        <v>0</v>
      </c>
      <c r="D80" s="95"/>
      <c r="E80" s="107" t="str">
        <f>IF('Fator R'!$D80="","",IFERROR((SUMIFS('Fator R'!$D$13:$D$84,'Fator R'!$B$13:$B$84,IF(MATCH('Fator R'!$B80,'Fator R'!$B$13:$B$84,0)=1,"=","&lt;")&amp;'Fator R'!$B80,'Fator R'!$B$13:$B$84,"&gt;="&amp;IF(MATCH('Fator R'!$B80,'Fator R'!$B$13:$B$84,0)&lt;12,T_DtIni[DATA INICIAL],EDATE('Fator R'!$B80,-12)))/(IF(MATCH('Fator R'!$B80,'Fator R'!$B$13:$B$84,0)&gt;12,12,MATCH('Fator R'!$B80,'Fator R'!$B$13:$B$84,0)))*12)/(SUMIFS('Fator R'!$C$13:$C$84,'Fator R'!$B$13:$B$84,IF(MATCH('Fator R'!$B80,'Fator R'!$B$13:$B$84,0)=1,"=","&lt;")&amp;'Fator R'!$B80,'Fator R'!$B$13:$B$84,"&gt;="&amp;IF(MATCH('Fator R'!$B80,'Fator R'!$B$13:$B$84,0)&lt;12,T_DtIni[DATA INICIAL],EDATE('Fator R'!$B80,-12)))/(IF(MATCH('Fator R'!$B80,'Fator R'!$B$13:$B$84,0)&gt;12,12,MATCH('Fator R'!$B80,'Fator R'!$B$13:$B$84,0)))*12),0))</f>
        <v/>
      </c>
      <c r="F80" s="108" t="str">
        <f>IF('Fator R'!$D80="","",IF('Fator R'!$E80&gt;=T_BaseFatorR[FATOR R],"Anexo III","Anexo V"))</f>
        <v/>
      </c>
    </row>
    <row r="81" spans="2:6" ht="15.6" x14ac:dyDescent="0.3">
      <c r="B81" s="105">
        <f>EDATE(T_DtIni[DATA INICIAL],ROW()-ROW('Fator R'!$B$12)-1)</f>
        <v>44805</v>
      </c>
      <c r="C81" s="106">
        <f>IFERROR(SUMIFS('Anexo I - Comércio'!$C$21:$C$92,'Anexo I - Comércio'!$B$21:$B$92,'Fator R'!$B81),0)+IFERROR(SUMIFS('Anexo II - Indústria'!$C$21:$C$92,'Anexo II - Indústria'!$B$21:$B$92,'Fator R'!$B81),0)+IFERROR(SUMIFS('Anexo III - Serviços'!$C$21:$C$92,'Anexo III - Serviços'!$B$21:$B$92,'Fator R'!$B81),0)+IFERROR(SUMIFS('Anexo IV - Serviços'!$C$21:$C$92,'Anexo IV - Serviços'!$B$21:$B$92,'Fator R'!$B81),0)+IFERROR(SUMIFS('Anexo V - Serviços'!$C$21:$C$92,'Anexo V - Serviços'!$B$21:$B$92,'Fator R'!$B81),0)</f>
        <v>0</v>
      </c>
      <c r="D81" s="95"/>
      <c r="E81" s="107" t="str">
        <f>IF('Fator R'!$D81="","",IFERROR((SUMIFS('Fator R'!$D$13:$D$84,'Fator R'!$B$13:$B$84,IF(MATCH('Fator R'!$B81,'Fator R'!$B$13:$B$84,0)=1,"=","&lt;")&amp;'Fator R'!$B81,'Fator R'!$B$13:$B$84,"&gt;="&amp;IF(MATCH('Fator R'!$B81,'Fator R'!$B$13:$B$84,0)&lt;12,T_DtIni[DATA INICIAL],EDATE('Fator R'!$B81,-12)))/(IF(MATCH('Fator R'!$B81,'Fator R'!$B$13:$B$84,0)&gt;12,12,MATCH('Fator R'!$B81,'Fator R'!$B$13:$B$84,0)))*12)/(SUMIFS('Fator R'!$C$13:$C$84,'Fator R'!$B$13:$B$84,IF(MATCH('Fator R'!$B81,'Fator R'!$B$13:$B$84,0)=1,"=","&lt;")&amp;'Fator R'!$B81,'Fator R'!$B$13:$B$84,"&gt;="&amp;IF(MATCH('Fator R'!$B81,'Fator R'!$B$13:$B$84,0)&lt;12,T_DtIni[DATA INICIAL],EDATE('Fator R'!$B81,-12)))/(IF(MATCH('Fator R'!$B81,'Fator R'!$B$13:$B$84,0)&gt;12,12,MATCH('Fator R'!$B81,'Fator R'!$B$13:$B$84,0)))*12),0))</f>
        <v/>
      </c>
      <c r="F81" s="108" t="str">
        <f>IF('Fator R'!$D81="","",IF('Fator R'!$E81&gt;=T_BaseFatorR[FATOR R],"Anexo III","Anexo V"))</f>
        <v/>
      </c>
    </row>
    <row r="82" spans="2:6" ht="15.6" x14ac:dyDescent="0.3">
      <c r="B82" s="105">
        <f>EDATE(T_DtIni[DATA INICIAL],ROW()-ROW('Fator R'!$B$12)-1)</f>
        <v>44835</v>
      </c>
      <c r="C82" s="106">
        <f>IFERROR(SUMIFS('Anexo I - Comércio'!$C$21:$C$92,'Anexo I - Comércio'!$B$21:$B$92,'Fator R'!$B82),0)+IFERROR(SUMIFS('Anexo II - Indústria'!$C$21:$C$92,'Anexo II - Indústria'!$B$21:$B$92,'Fator R'!$B82),0)+IFERROR(SUMIFS('Anexo III - Serviços'!$C$21:$C$92,'Anexo III - Serviços'!$B$21:$B$92,'Fator R'!$B82),0)+IFERROR(SUMIFS('Anexo IV - Serviços'!$C$21:$C$92,'Anexo IV - Serviços'!$B$21:$B$92,'Fator R'!$B82),0)+IFERROR(SUMIFS('Anexo V - Serviços'!$C$21:$C$92,'Anexo V - Serviços'!$B$21:$B$92,'Fator R'!$B82),0)</f>
        <v>0</v>
      </c>
      <c r="D82" s="95"/>
      <c r="E82" s="107" t="str">
        <f>IF('Fator R'!$D82="","",IFERROR((SUMIFS('Fator R'!$D$13:$D$84,'Fator R'!$B$13:$B$84,IF(MATCH('Fator R'!$B82,'Fator R'!$B$13:$B$84,0)=1,"=","&lt;")&amp;'Fator R'!$B82,'Fator R'!$B$13:$B$84,"&gt;="&amp;IF(MATCH('Fator R'!$B82,'Fator R'!$B$13:$B$84,0)&lt;12,T_DtIni[DATA INICIAL],EDATE('Fator R'!$B82,-12)))/(IF(MATCH('Fator R'!$B82,'Fator R'!$B$13:$B$84,0)&gt;12,12,MATCH('Fator R'!$B82,'Fator R'!$B$13:$B$84,0)))*12)/(SUMIFS('Fator R'!$C$13:$C$84,'Fator R'!$B$13:$B$84,IF(MATCH('Fator R'!$B82,'Fator R'!$B$13:$B$84,0)=1,"=","&lt;")&amp;'Fator R'!$B82,'Fator R'!$B$13:$B$84,"&gt;="&amp;IF(MATCH('Fator R'!$B82,'Fator R'!$B$13:$B$84,0)&lt;12,T_DtIni[DATA INICIAL],EDATE('Fator R'!$B82,-12)))/(IF(MATCH('Fator R'!$B82,'Fator R'!$B$13:$B$84,0)&gt;12,12,MATCH('Fator R'!$B82,'Fator R'!$B$13:$B$84,0)))*12),0))</f>
        <v/>
      </c>
      <c r="F82" s="108" t="str">
        <f>IF('Fator R'!$D82="","",IF('Fator R'!$E82&gt;=T_BaseFatorR[FATOR R],"Anexo III","Anexo V"))</f>
        <v/>
      </c>
    </row>
    <row r="83" spans="2:6" ht="15.6" x14ac:dyDescent="0.3">
      <c r="B83" s="105">
        <f>EDATE(T_DtIni[DATA INICIAL],ROW()-ROW('Fator R'!$B$12)-1)</f>
        <v>44866</v>
      </c>
      <c r="C83" s="106">
        <f>IFERROR(SUMIFS('Anexo I - Comércio'!$C$21:$C$92,'Anexo I - Comércio'!$B$21:$B$92,'Fator R'!$B83),0)+IFERROR(SUMIFS('Anexo II - Indústria'!$C$21:$C$92,'Anexo II - Indústria'!$B$21:$B$92,'Fator R'!$B83),0)+IFERROR(SUMIFS('Anexo III - Serviços'!$C$21:$C$92,'Anexo III - Serviços'!$B$21:$B$92,'Fator R'!$B83),0)+IFERROR(SUMIFS('Anexo IV - Serviços'!$C$21:$C$92,'Anexo IV - Serviços'!$B$21:$B$92,'Fator R'!$B83),0)+IFERROR(SUMIFS('Anexo V - Serviços'!$C$21:$C$92,'Anexo V - Serviços'!$B$21:$B$92,'Fator R'!$B83),0)</f>
        <v>0</v>
      </c>
      <c r="D83" s="95"/>
      <c r="E83" s="107" t="str">
        <f>IF('Fator R'!$D83="","",IFERROR((SUMIFS('Fator R'!$D$13:$D$84,'Fator R'!$B$13:$B$84,IF(MATCH('Fator R'!$B83,'Fator R'!$B$13:$B$84,0)=1,"=","&lt;")&amp;'Fator R'!$B83,'Fator R'!$B$13:$B$84,"&gt;="&amp;IF(MATCH('Fator R'!$B83,'Fator R'!$B$13:$B$84,0)&lt;12,T_DtIni[DATA INICIAL],EDATE('Fator R'!$B83,-12)))/(IF(MATCH('Fator R'!$B83,'Fator R'!$B$13:$B$84,0)&gt;12,12,MATCH('Fator R'!$B83,'Fator R'!$B$13:$B$84,0)))*12)/(SUMIFS('Fator R'!$C$13:$C$84,'Fator R'!$B$13:$B$84,IF(MATCH('Fator R'!$B83,'Fator R'!$B$13:$B$84,0)=1,"=","&lt;")&amp;'Fator R'!$B83,'Fator R'!$B$13:$B$84,"&gt;="&amp;IF(MATCH('Fator R'!$B83,'Fator R'!$B$13:$B$84,0)&lt;12,T_DtIni[DATA INICIAL],EDATE('Fator R'!$B83,-12)))/(IF(MATCH('Fator R'!$B83,'Fator R'!$B$13:$B$84,0)&gt;12,12,MATCH('Fator R'!$B83,'Fator R'!$B$13:$B$84,0)))*12),0))</f>
        <v/>
      </c>
      <c r="F83" s="108" t="str">
        <f>IF('Fator R'!$D83="","",IF('Fator R'!$E83&gt;=T_BaseFatorR[FATOR R],"Anexo III","Anexo V"))</f>
        <v/>
      </c>
    </row>
    <row r="84" spans="2:6" ht="16.2" thickBot="1" x14ac:dyDescent="0.35">
      <c r="B84" s="109">
        <f>EDATE(T_DtIni[DATA INICIAL],ROW()-ROW('Fator R'!$B$12)-1)</f>
        <v>44896</v>
      </c>
      <c r="C84" s="110">
        <f>IFERROR(SUMIFS('Anexo I - Comércio'!$C$21:$C$92,'Anexo I - Comércio'!$B$21:$B$92,'Fator R'!$B84),0)+IFERROR(SUMIFS('Anexo II - Indústria'!$C$21:$C$92,'Anexo II - Indústria'!$B$21:$B$92,'Fator R'!$B84),0)+IFERROR(SUMIFS('Anexo III - Serviços'!$C$21:$C$92,'Anexo III - Serviços'!$B$21:$B$92,'Fator R'!$B84),0)+IFERROR(SUMIFS('Anexo IV - Serviços'!$C$21:$C$92,'Anexo IV - Serviços'!$B$21:$B$92,'Fator R'!$B84),0)+IFERROR(SUMIFS('Anexo V - Serviços'!$C$21:$C$92,'Anexo V - Serviços'!$B$21:$B$92,'Fator R'!$B84),0)</f>
        <v>0</v>
      </c>
      <c r="D84" s="96"/>
      <c r="E84" s="111" t="str">
        <f>IF('Fator R'!$D84="","",IFERROR((SUMIFS('Fator R'!$D$13:$D$84,'Fator R'!$B$13:$B$84,IF(MATCH('Fator R'!$B84,'Fator R'!$B$13:$B$84,0)=1,"=","&lt;")&amp;'Fator R'!$B84,'Fator R'!$B$13:$B$84,"&gt;="&amp;IF(MATCH('Fator R'!$B84,'Fator R'!$B$13:$B$84,0)&lt;12,T_DtIni[DATA INICIAL],EDATE('Fator R'!$B84,-12)))/(IF(MATCH('Fator R'!$B84,'Fator R'!$B$13:$B$84,0)&gt;12,12,MATCH('Fator R'!$B84,'Fator R'!$B$13:$B$84,0)))*12)/(SUMIFS('Fator R'!$C$13:$C$84,'Fator R'!$B$13:$B$84,IF(MATCH('Fator R'!$B84,'Fator R'!$B$13:$B$84,0)=1,"=","&lt;")&amp;'Fator R'!$B84,'Fator R'!$B$13:$B$84,"&gt;="&amp;IF(MATCH('Fator R'!$B84,'Fator R'!$B$13:$B$84,0)&lt;12,T_DtIni[DATA INICIAL],EDATE('Fator R'!$B84,-12)))/(IF(MATCH('Fator R'!$B84,'Fator R'!$B$13:$B$84,0)&gt;12,12,MATCH('Fator R'!$B84,'Fator R'!$B$13:$B$84,0)))*12),0))</f>
        <v/>
      </c>
      <c r="F84" s="112" t="str">
        <f>IF('Fator R'!$D84="","",IF('Fator R'!$E84&gt;=T_BaseFatorR[FATOR R],"Anexo III","Anexo V"))</f>
        <v/>
      </c>
    </row>
  </sheetData>
  <sheetProtection algorithmName="SHA-512" hashValue="xDKPhxoOnuyXjwq8Yk0cxLp1SArE3aQK6rPtbrlnTjSQDrAK/b3ktC/FKSSih+b+zAsJ34NcQ1oRdScHm8WxLg==" saltValue="Xqqnsu+AmsCwQlD6lOYtqw==" spinCount="100000" sheet="1" objects="1" scenarios="1"/>
  <mergeCells count="6">
    <mergeCell ref="C8:C9"/>
    <mergeCell ref="D8:D9"/>
    <mergeCell ref="B11:F11"/>
    <mergeCell ref="E8:E9"/>
    <mergeCell ref="B3:N3"/>
    <mergeCell ref="B5:P5"/>
  </mergeCells>
  <conditionalFormatting sqref="B13:C84 E21:F92">
    <cfRule type="expression" dxfId="306" priority="9">
      <formula>$B13=INDIRECT("T_DtRef")</formula>
    </cfRule>
  </conditionalFormatting>
  <conditionalFormatting sqref="C13:F84">
    <cfRule type="expression" dxfId="305" priority="10">
      <formula>$B13=EDATE(INDIRECT("T_DtRef"),-INDIRECT("T_QtdeMeses"))</formula>
    </cfRule>
    <cfRule type="expression" dxfId="304" priority="11">
      <formula>AND($B13&lt;EDATE(INDIRECT("T_DtRef"),-1),$B13&gt;EDATE(INDIRECT("T_DtRef"),-INDIRECT("T_QtdeMeses")))</formula>
    </cfRule>
    <cfRule type="expression" dxfId="303" priority="12">
      <formula>$B13=EDATE(INDIRECT("T_DtRef"),-1)</formula>
    </cfRule>
  </conditionalFormatting>
  <conditionalFormatting sqref="B5:P5">
    <cfRule type="cellIs" dxfId="302" priority="1" operator="notEqual">
      <formula>""</formula>
    </cfRule>
  </conditionalFormatting>
  <pageMargins left="0.51181102362204722" right="0.51181102362204722" top="0.78740157480314965" bottom="0.78740157480314965" header="0.31496062992125984" footer="0.31496062992125984"/>
  <pageSetup paperSize="9"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>
                  <from>
                    <xdr:col>1</xdr:col>
                    <xdr:colOff>99060</xdr:colOff>
                    <xdr:row>7</xdr:row>
                    <xdr:rowOff>106680</xdr:rowOff>
                  </from>
                  <to>
                    <xdr:col>1</xdr:col>
                    <xdr:colOff>685800</xdr:colOff>
                    <xdr:row>8</xdr:row>
                    <xdr:rowOff>83820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8B79019F-82BA-47EC-949C-BBA39718434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SUPORTE!$B$20</xm:f>
              </x14:cfvo>
              <x14:cfIcon iconSet="NoIcons" iconId="0"/>
              <x14:cfIcon iconSet="3Stars" iconId="0"/>
              <x14:cfIcon iconSet="3Stars" iconId="2"/>
            </x14:iconSet>
          </x14:cfRule>
          <xm:sqref>E13:E84 D8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11E39-97BB-4E8E-A925-83DD43A963B2}">
  <sheetPr codeName="Planilha3">
    <tabColor rgb="FF62A9C6"/>
  </sheetPr>
  <dimension ref="B1:AB92"/>
  <sheetViews>
    <sheetView showGridLines="0" zoomScale="85" zoomScaleNormal="85" workbookViewId="0">
      <selection activeCell="C21" sqref="C21"/>
    </sheetView>
  </sheetViews>
  <sheetFormatPr defaultColWidth="9.109375" defaultRowHeight="14.4" x14ac:dyDescent="0.3"/>
  <cols>
    <col min="1" max="1" width="5.6640625" style="27" customWidth="1"/>
    <col min="2" max="2" width="12" style="27" customWidth="1"/>
    <col min="3" max="3" width="15" style="27" bestFit="1" customWidth="1"/>
    <col min="4" max="4" width="21.109375" style="27" customWidth="1"/>
    <col min="5" max="5" width="5.5546875" style="27" customWidth="1"/>
    <col min="6" max="6" width="6.33203125" style="27" customWidth="1"/>
    <col min="7" max="7" width="19.6640625" style="27" customWidth="1"/>
    <col min="8" max="8" width="17.44140625" style="27" customWidth="1"/>
    <col min="9" max="14" width="15.33203125" style="27" customWidth="1"/>
    <col min="15" max="15" width="28.6640625" style="27" customWidth="1"/>
    <col min="16" max="16" width="10.109375" style="27" bestFit="1" customWidth="1"/>
    <col min="17" max="17" width="12" style="27" hidden="1" customWidth="1"/>
    <col min="18" max="20" width="9.109375" style="27" hidden="1" customWidth="1"/>
    <col min="21" max="21" width="9.6640625" style="27" hidden="1" customWidth="1"/>
    <col min="22" max="26" width="9.109375" style="27" hidden="1" customWidth="1"/>
    <col min="27" max="27" width="12.5546875" style="27" hidden="1" customWidth="1"/>
    <col min="28" max="28" width="75.33203125" style="27" hidden="1" customWidth="1"/>
    <col min="29" max="29" width="9.109375" style="27" customWidth="1"/>
    <col min="30" max="16384" width="9.109375" style="27"/>
  </cols>
  <sheetData>
    <row r="1" spans="2:28" s="26" customFormat="1" ht="40.5" customHeight="1" thickBot="1" x14ac:dyDescent="0.55000000000000004">
      <c r="B1" s="33" t="s">
        <v>14</v>
      </c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Q1" s="86" t="s">
        <v>71</v>
      </c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</row>
    <row r="2" spans="2:28" s="26" customFormat="1" ht="5.25" customHeight="1" thickTop="1" x14ac:dyDescent="0.3">
      <c r="B2" s="37"/>
    </row>
    <row r="3" spans="2:28" s="26" customFormat="1" ht="21" customHeight="1" x14ac:dyDescent="0.3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2:28" s="26" customFormat="1" ht="7.5" customHeight="1" x14ac:dyDescent="0.3">
      <c r="B4" s="37"/>
    </row>
    <row r="5" spans="2:28" s="85" customFormat="1" ht="33" customHeight="1" x14ac:dyDescent="0.3">
      <c r="B5" s="144" t="str">
        <f>CONCATENATE(IF(AA8,AB8&amp;" ",""),IF(AA9,AB9&amp;" ",""),IF(AA11,AB11&amp;" ",""))</f>
        <v/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68"/>
      <c r="P5" s="68"/>
    </row>
    <row r="6" spans="2:28" s="26" customFormat="1" ht="7.5" customHeight="1" thickBot="1" x14ac:dyDescent="0.35">
      <c r="B6" s="37"/>
    </row>
    <row r="7" spans="2:28" ht="30" customHeight="1" thickBot="1" x14ac:dyDescent="0.35">
      <c r="B7" s="38" t="s">
        <v>22</v>
      </c>
      <c r="C7" s="138" t="s">
        <v>85</v>
      </c>
      <c r="D7" s="139"/>
      <c r="F7" s="39" t="s">
        <v>5</v>
      </c>
      <c r="G7" s="40" t="s">
        <v>64</v>
      </c>
      <c r="H7" s="83" t="s">
        <v>79</v>
      </c>
      <c r="I7" s="31" t="s">
        <v>8</v>
      </c>
      <c r="J7" s="31" t="s">
        <v>9</v>
      </c>
      <c r="K7" s="31" t="s">
        <v>10</v>
      </c>
      <c r="L7" s="31" t="s">
        <v>11</v>
      </c>
      <c r="M7" s="31" t="s">
        <v>89</v>
      </c>
      <c r="N7" s="31" t="s">
        <v>12</v>
      </c>
      <c r="Q7" s="31" t="s">
        <v>8</v>
      </c>
      <c r="R7" s="31" t="s">
        <v>9</v>
      </c>
      <c r="S7" s="31" t="s">
        <v>10</v>
      </c>
      <c r="T7" s="31" t="s">
        <v>11</v>
      </c>
      <c r="U7" s="31" t="s">
        <v>89</v>
      </c>
      <c r="V7" s="31" t="s">
        <v>12</v>
      </c>
      <c r="W7" s="31" t="s">
        <v>27</v>
      </c>
      <c r="AA7" s="27" t="s">
        <v>43</v>
      </c>
      <c r="AB7" s="27" t="s">
        <v>42</v>
      </c>
    </row>
    <row r="8" spans="2:28" ht="22.5" customHeight="1" thickBot="1" x14ac:dyDescent="0.35">
      <c r="B8" s="41"/>
      <c r="C8" s="140">
        <f>SUPORTE!$Q$4</f>
        <v>0</v>
      </c>
      <c r="D8" s="141"/>
      <c r="F8" s="42">
        <f>SUPORTE!$Q$6</f>
        <v>1</v>
      </c>
      <c r="G8" s="43">
        <f>IFERROR(SUMIFS('Anexo I - Comércio'!$C$21:$C$92,'Anexo I - Comércio'!$B$21:$B$92,T_DtRef[DATA REFERENCIA]),0)</f>
        <v>0</v>
      </c>
      <c r="H8" s="77">
        <f>IFERROR(T_AliquotaA1[ALÍQUOTA NOMINAL]-IF(OR(AND(T_IseICMS[ISENÇÃO ICMS]=1,$C$8&lt;=360000),T_Sublimite[LIMITE 3600K]),T_A1Suporte[[#This Row],[ICMS]],0),0)</f>
        <v>0</v>
      </c>
      <c r="I8" s="44">
        <f>IFERROR(Q8*IF(OR(AND(T_IseICMS[ISENÇÃO ICMS]=1,$C$8&lt;=360000),T_Sublimite[LIMITE 3600K]),Q10,1),0)</f>
        <v>0</v>
      </c>
      <c r="J8" s="44">
        <f>IFERROR(R8*IF(OR(AND(T_IseICMS[ISENÇÃO ICMS]=1,$C$8&lt;=360000),T_Sublimite[LIMITE 3600K]),R10,1),0)</f>
        <v>0</v>
      </c>
      <c r="K8" s="44">
        <f>IFERROR(S8*IF(OR(AND(T_IseICMS[ISENÇÃO ICMS]=1,$C$8&lt;=360000),T_Sublimite[LIMITE 3600K]),S10,1),0)</f>
        <v>0</v>
      </c>
      <c r="L8" s="44">
        <f>IFERROR(T8*IF(OR(AND(T_IseICMS[ISENÇÃO ICMS]=1,$C$8&lt;=360000),T_Sublimite[LIMITE 3600K]),T10,1),0)</f>
        <v>0</v>
      </c>
      <c r="M8" s="44">
        <f>IFERROR(U8*IF(OR(AND(T_IseICMS[ISENÇÃO ICMS]=1,$C$8&lt;=360000),T_Sublimite[LIMITE 3600K]),U10,1),0)</f>
        <v>0</v>
      </c>
      <c r="N8" s="44">
        <f>IFERROR(V8*IF(OR(AND(T_IseICMS[ISENÇÃO ICMS]=1,$C$8&lt;=360000),T_Sublimite[LIMITE 3600K]),V10,1),0)</f>
        <v>0</v>
      </c>
      <c r="O8" s="26"/>
      <c r="Q8" s="45">
        <f>IFERROR(VLOOKUP(SUPORTE!$Q$6,T_TaxaA1[],MATCH(Q7,T_TaxaA1[#Headers],0),0)*T_AliquotaA1[ALÍQUOTA NOMINAL],0)</f>
        <v>0</v>
      </c>
      <c r="R8" s="45">
        <f>IFERROR(VLOOKUP(SUPORTE!$Q$6,T_TaxaA1[],MATCH(R7,T_TaxaA1[#Headers],0),0)*T_AliquotaA1[ALÍQUOTA NOMINAL],0)</f>
        <v>0</v>
      </c>
      <c r="S8" s="45">
        <f>IFERROR(VLOOKUP(SUPORTE!$Q$6,T_TaxaA1[],MATCH(S7,T_TaxaA1[#Headers],0),0)*T_AliquotaA1[ALÍQUOTA NOMINAL],0)</f>
        <v>0</v>
      </c>
      <c r="T8" s="45">
        <f>IFERROR(VLOOKUP(SUPORTE!$Q$6,T_TaxaA1[],MATCH(T7,T_TaxaA1[#Headers],0),0)*T_AliquotaA1[ALÍQUOTA NOMINAL],0)</f>
        <v>0</v>
      </c>
      <c r="U8" s="45">
        <f>IFERROR(VLOOKUP(SUPORTE!$Q$6,T_TaxaA1[],MATCH(U7,T_TaxaA1[#Headers],0),0)*T_AliquotaA1[ALÍQUOTA NOMINAL],0)</f>
        <v>0</v>
      </c>
      <c r="V8" s="45">
        <f>IFERROR(VLOOKUP(SUPORTE!$Q$6,T_TaxaA1[],MATCH(V7,T_TaxaA1[#Headers],0),0)*T_AliquotaA1[ALÍQUOTA NOMINAL],0)</f>
        <v>0</v>
      </c>
      <c r="W8" s="45">
        <f>SUM(T_A1Suporte[[#This Row],[IRPJ]:[ICMS]])</f>
        <v>0</v>
      </c>
      <c r="AA8" s="27" t="b">
        <f>T_IseICMS[ISENÇÃO ICMS]=1</f>
        <v>0</v>
      </c>
      <c r="AB8" s="27" t="s">
        <v>87</v>
      </c>
    </row>
    <row r="9" spans="2:28" ht="22.5" customHeight="1" thickBot="1" x14ac:dyDescent="0.35">
      <c r="B9" s="46"/>
      <c r="C9" s="142"/>
      <c r="D9" s="143"/>
      <c r="F9" s="47" t="s">
        <v>26</v>
      </c>
      <c r="G9" s="48" t="s">
        <v>26</v>
      </c>
      <c r="H9" s="78">
        <f>$G$8*H$8</f>
        <v>0</v>
      </c>
      <c r="I9" s="49">
        <f t="shared" ref="I9:N9" si="0">$G$8*I$8</f>
        <v>0</v>
      </c>
      <c r="J9" s="49">
        <f t="shared" si="0"/>
        <v>0</v>
      </c>
      <c r="K9" s="49">
        <f t="shared" si="0"/>
        <v>0</v>
      </c>
      <c r="L9" s="49">
        <f t="shared" si="0"/>
        <v>0</v>
      </c>
      <c r="M9" s="49">
        <f t="shared" si="0"/>
        <v>0</v>
      </c>
      <c r="N9" s="49">
        <f t="shared" si="0"/>
        <v>0</v>
      </c>
      <c r="O9" s="26"/>
      <c r="Q9" s="45">
        <f t="shared" ref="Q9:V9" si="1">ROUND(Q8,4)</f>
        <v>0</v>
      </c>
      <c r="R9" s="45">
        <f t="shared" si="1"/>
        <v>0</v>
      </c>
      <c r="S9" s="45">
        <f t="shared" si="1"/>
        <v>0</v>
      </c>
      <c r="T9" s="45">
        <f t="shared" si="1"/>
        <v>0</v>
      </c>
      <c r="U9" s="45">
        <f t="shared" si="1"/>
        <v>0</v>
      </c>
      <c r="V9" s="45">
        <f t="shared" si="1"/>
        <v>0</v>
      </c>
      <c r="W9" s="45">
        <f>SUM(T_A1Suporte[[#This Row],[IRPJ]:[ICMS]])</f>
        <v>0</v>
      </c>
      <c r="AA9" s="27" t="b">
        <f>T_Sublimite[LIMITE 3600K]</f>
        <v>0</v>
      </c>
      <c r="AB9" s="27" t="s">
        <v>83</v>
      </c>
    </row>
    <row r="10" spans="2:28" x14ac:dyDescent="0.3">
      <c r="Q10" s="75">
        <v>1</v>
      </c>
      <c r="R10" s="75">
        <v>1</v>
      </c>
      <c r="S10" s="75">
        <v>1</v>
      </c>
      <c r="T10" s="75">
        <v>1</v>
      </c>
      <c r="U10" s="75">
        <v>1</v>
      </c>
      <c r="V10" s="75">
        <v>0</v>
      </c>
      <c r="W10" s="76">
        <f>SUM(T_A1Suporte[[#This Row],[IRPJ]:[ICMS]])</f>
        <v>5</v>
      </c>
      <c r="AA10" s="74" t="b">
        <f>T_IseICMS[ISENÇÃO ICMS]=1</f>
        <v>0</v>
      </c>
    </row>
    <row r="11" spans="2:28" x14ac:dyDescent="0.3">
      <c r="B11" s="50" t="s">
        <v>5</v>
      </c>
      <c r="C11" s="50" t="s">
        <v>6</v>
      </c>
      <c r="D11" s="50" t="s">
        <v>33</v>
      </c>
      <c r="F11" s="71" t="s">
        <v>5</v>
      </c>
      <c r="G11" s="72" t="s">
        <v>32</v>
      </c>
      <c r="H11" s="71" t="s">
        <v>78</v>
      </c>
      <c r="I11" s="71" t="s">
        <v>8</v>
      </c>
      <c r="J11" s="71" t="s">
        <v>9</v>
      </c>
      <c r="K11" s="71" t="s">
        <v>10</v>
      </c>
      <c r="L11" s="71" t="s">
        <v>11</v>
      </c>
      <c r="M11" s="71" t="s">
        <v>89</v>
      </c>
      <c r="N11" s="71" t="s">
        <v>12</v>
      </c>
    </row>
    <row r="12" spans="2:28" x14ac:dyDescent="0.3">
      <c r="B12" s="50">
        <v>1</v>
      </c>
      <c r="C12" s="52">
        <v>0</v>
      </c>
      <c r="D12" s="52">
        <v>180000</v>
      </c>
      <c r="F12" s="50">
        <v>1</v>
      </c>
      <c r="G12" s="53">
        <v>0</v>
      </c>
      <c r="H12" s="54">
        <v>0.04</v>
      </c>
      <c r="I12" s="54">
        <v>5.5E-2</v>
      </c>
      <c r="J12" s="54">
        <v>3.5000000000000003E-2</v>
      </c>
      <c r="K12" s="54">
        <v>0.12740000000000001</v>
      </c>
      <c r="L12" s="54">
        <v>2.76E-2</v>
      </c>
      <c r="M12" s="54">
        <v>0.41499999999999998</v>
      </c>
      <c r="N12" s="54">
        <v>0.34</v>
      </c>
    </row>
    <row r="13" spans="2:28" ht="15" customHeight="1" thickBot="1" x14ac:dyDescent="0.35">
      <c r="B13" s="50">
        <v>2</v>
      </c>
      <c r="C13" s="52">
        <v>180000.01</v>
      </c>
      <c r="D13" s="52">
        <v>360000</v>
      </c>
      <c r="F13" s="50">
        <v>2</v>
      </c>
      <c r="G13" s="53">
        <v>5940</v>
      </c>
      <c r="H13" s="54">
        <v>7.2999999999999995E-2</v>
      </c>
      <c r="I13" s="54">
        <v>5.5E-2</v>
      </c>
      <c r="J13" s="54">
        <v>3.5000000000000003E-2</v>
      </c>
      <c r="K13" s="54">
        <v>0.12740000000000001</v>
      </c>
      <c r="L13" s="54">
        <v>2.76E-2</v>
      </c>
      <c r="M13" s="54">
        <v>0.41499999999999998</v>
      </c>
      <c r="N13" s="54">
        <v>0.34</v>
      </c>
      <c r="Q13" s="27" t="s">
        <v>78</v>
      </c>
    </row>
    <row r="14" spans="2:28" x14ac:dyDescent="0.3">
      <c r="B14" s="50">
        <v>3</v>
      </c>
      <c r="C14" s="52">
        <v>360000.01</v>
      </c>
      <c r="D14" s="52">
        <v>720000</v>
      </c>
      <c r="F14" s="50">
        <v>3</v>
      </c>
      <c r="G14" s="53">
        <v>13860</v>
      </c>
      <c r="H14" s="54">
        <v>9.5000000000000001E-2</v>
      </c>
      <c r="I14" s="54">
        <v>5.5E-2</v>
      </c>
      <c r="J14" s="54">
        <v>3.5000000000000003E-2</v>
      </c>
      <c r="K14" s="54">
        <v>0.12740000000000001</v>
      </c>
      <c r="L14" s="54">
        <v>2.76E-2</v>
      </c>
      <c r="M14" s="54">
        <v>0.42</v>
      </c>
      <c r="N14" s="54">
        <v>0.33500000000000002</v>
      </c>
      <c r="Q14" s="82">
        <f>IFERROR(($C$8*VLOOKUP(SUPORTE!$Q$6,T_TaxaA1[],MATCH(Q13,T_TaxaA1[#Headers],0),0)-VLOOKUP(SUPORTE!$Q$6,T_TaxaA1[],MATCH("VALOR A DEDUZIR (R$)",T_TaxaA1[#Headers],0),0))/$C$8,0)</f>
        <v>0</v>
      </c>
    </row>
    <row r="15" spans="2:28" x14ac:dyDescent="0.3">
      <c r="B15" s="50">
        <v>4</v>
      </c>
      <c r="C15" s="52">
        <v>720000.01</v>
      </c>
      <c r="D15" s="52">
        <v>1800000</v>
      </c>
      <c r="F15" s="50">
        <v>4</v>
      </c>
      <c r="G15" s="53">
        <v>22500</v>
      </c>
      <c r="H15" s="54">
        <v>0.107</v>
      </c>
      <c r="I15" s="54">
        <v>5.5E-2</v>
      </c>
      <c r="J15" s="54">
        <v>3.5000000000000003E-2</v>
      </c>
      <c r="K15" s="54">
        <v>0.12740000000000001</v>
      </c>
      <c r="L15" s="54">
        <v>2.76E-2</v>
      </c>
      <c r="M15" s="54">
        <v>0.42</v>
      </c>
      <c r="N15" s="54">
        <v>0.33500000000000002</v>
      </c>
    </row>
    <row r="16" spans="2:28" x14ac:dyDescent="0.3">
      <c r="B16" s="50">
        <v>5</v>
      </c>
      <c r="C16" s="52">
        <v>1800000.01</v>
      </c>
      <c r="D16" s="52">
        <v>3600000</v>
      </c>
      <c r="F16" s="50">
        <v>5</v>
      </c>
      <c r="G16" s="53">
        <v>87300</v>
      </c>
      <c r="H16" s="54">
        <v>0.14299999999999999</v>
      </c>
      <c r="I16" s="54">
        <v>5.5E-2</v>
      </c>
      <c r="J16" s="54">
        <v>3.5000000000000003E-2</v>
      </c>
      <c r="K16" s="54">
        <v>0.12740000000000001</v>
      </c>
      <c r="L16" s="54">
        <v>2.76E-2</v>
      </c>
      <c r="M16" s="54">
        <v>0.42</v>
      </c>
      <c r="N16" s="54">
        <v>0.33500000000000002</v>
      </c>
    </row>
    <row r="17" spans="2:14" x14ac:dyDescent="0.3">
      <c r="B17" s="50">
        <v>6</v>
      </c>
      <c r="C17" s="52">
        <v>3600000.01</v>
      </c>
      <c r="D17" s="52">
        <v>4800000</v>
      </c>
      <c r="F17" s="50">
        <v>6</v>
      </c>
      <c r="G17" s="53">
        <v>378000</v>
      </c>
      <c r="H17" s="54">
        <v>0.19</v>
      </c>
      <c r="I17" s="54">
        <v>0.13500000000000001</v>
      </c>
      <c r="J17" s="54">
        <v>0.1</v>
      </c>
      <c r="K17" s="54">
        <v>0.28270000000000001</v>
      </c>
      <c r="L17" s="54">
        <v>6.13E-2</v>
      </c>
      <c r="M17" s="54">
        <v>0.42099999999999999</v>
      </c>
      <c r="N17" s="55">
        <v>0</v>
      </c>
    </row>
    <row r="19" spans="2:14" ht="36.75" customHeight="1" thickBot="1" x14ac:dyDescent="0.35">
      <c r="B19" s="137" t="s">
        <v>75</v>
      </c>
      <c r="C19" s="137"/>
      <c r="D19" s="137"/>
    </row>
    <row r="20" spans="2:14" ht="15" thickBot="1" x14ac:dyDescent="0.35">
      <c r="B20" s="113" t="s">
        <v>0</v>
      </c>
      <c r="C20" s="114" t="s">
        <v>1</v>
      </c>
      <c r="D20" s="115" t="s">
        <v>37</v>
      </c>
      <c r="F20" s="56"/>
      <c r="G20" s="57"/>
      <c r="H20" s="57"/>
      <c r="I20" s="57"/>
      <c r="J20" s="57"/>
      <c r="K20" s="57"/>
      <c r="L20" s="57"/>
      <c r="M20" s="57"/>
      <c r="N20" s="58"/>
    </row>
    <row r="21" spans="2:14" x14ac:dyDescent="0.3">
      <c r="B21" s="116">
        <f>EDATE(T_DtIni[DATA INICIAL],ROW()-ROW($B$20)-1)</f>
        <v>42736</v>
      </c>
      <c r="C21" s="122"/>
      <c r="D21" s="117" t="str">
        <f>TEXT(IFERROR(SUMIFS('Fator R'!$C$13:$C$84,'Fator R'!$B$13:$B$84,$B21),0),"#.##0,00;; ""-"" ")&amp;" : "&amp;TEXT(IFERROR($C21/SUMIFS('Fator R'!$C$13:$C$84,'Fator R'!$B$13:$B$84,$B21),0),"#.##0,00% ;; ""-"" ")</f>
        <v xml:space="preserve"> -  :  - </v>
      </c>
    </row>
    <row r="22" spans="2:14" x14ac:dyDescent="0.3">
      <c r="B22" s="118">
        <f>EDATE(T_DtIni[DATA INICIAL],ROW()-ROW($B$20)-1)</f>
        <v>42767</v>
      </c>
      <c r="C22" s="123"/>
      <c r="D22" s="119" t="str">
        <f>TEXT(IFERROR(SUMIFS('Fator R'!$C$13:$C$84,'Fator R'!$B$13:$B$84,$B22),0),"#.##0,00;; ""-"" ")&amp;" : "&amp;TEXT(IFERROR($C22/SUMIFS('Fator R'!$C$13:$C$84,'Fator R'!$B$13:$B$84,$B22),0),"#.##0,00% ;; ""-"" ")</f>
        <v xml:space="preserve"> -  :  - </v>
      </c>
    </row>
    <row r="23" spans="2:14" x14ac:dyDescent="0.3">
      <c r="B23" s="118">
        <f>EDATE(T_DtIni[DATA INICIAL],ROW()-ROW($B$20)-1)</f>
        <v>42795</v>
      </c>
      <c r="C23" s="123"/>
      <c r="D23" s="119" t="str">
        <f>TEXT(IFERROR(SUMIFS('Fator R'!$C$13:$C$84,'Fator R'!$B$13:$B$84,$B23),0),"#.##0,00;; ""-"" ")&amp;" : "&amp;TEXT(IFERROR($C23/SUMIFS('Fator R'!$C$13:$C$84,'Fator R'!$B$13:$B$84,$B23),0),"#.##0,00% ;; ""-"" ")</f>
        <v xml:space="preserve"> -  :  - </v>
      </c>
    </row>
    <row r="24" spans="2:14" x14ac:dyDescent="0.3">
      <c r="B24" s="118">
        <f>EDATE(T_DtIni[DATA INICIAL],ROW()-ROW($B$20)-1)</f>
        <v>42826</v>
      </c>
      <c r="C24" s="123"/>
      <c r="D24" s="119" t="str">
        <f>TEXT(IFERROR(SUMIFS('Fator R'!$C$13:$C$84,'Fator R'!$B$13:$B$84,$B24),0),"#.##0,00;; ""-"" ")&amp;" : "&amp;TEXT(IFERROR($C24/SUMIFS('Fator R'!$C$13:$C$84,'Fator R'!$B$13:$B$84,$B24),0),"#.##0,00% ;; ""-"" ")</f>
        <v xml:space="preserve"> -  :  - </v>
      </c>
    </row>
    <row r="25" spans="2:14" x14ac:dyDescent="0.3">
      <c r="B25" s="118">
        <f>EDATE(T_DtIni[DATA INICIAL],ROW()-ROW($B$20)-1)</f>
        <v>42856</v>
      </c>
      <c r="C25" s="123"/>
      <c r="D25" s="119" t="str">
        <f>TEXT(IFERROR(SUMIFS('Fator R'!$C$13:$C$84,'Fator R'!$B$13:$B$84,$B25),0),"#.##0,00;; ""-"" ")&amp;" : "&amp;TEXT(IFERROR($C25/SUMIFS('Fator R'!$C$13:$C$84,'Fator R'!$B$13:$B$84,$B25),0),"#.##0,00% ;; ""-"" ")</f>
        <v xml:space="preserve"> -  :  - </v>
      </c>
    </row>
    <row r="26" spans="2:14" x14ac:dyDescent="0.3">
      <c r="B26" s="118">
        <f>EDATE(T_DtIni[DATA INICIAL],ROW()-ROW($B$20)-1)</f>
        <v>42887</v>
      </c>
      <c r="C26" s="123"/>
      <c r="D26" s="119" t="str">
        <f>TEXT(IFERROR(SUMIFS('Fator R'!$C$13:$C$84,'Fator R'!$B$13:$B$84,$B26),0),"#.##0,00;; ""-"" ")&amp;" : "&amp;TEXT(IFERROR($C26/SUMIFS('Fator R'!$C$13:$C$84,'Fator R'!$B$13:$B$84,$B26),0),"#.##0,00% ;; ""-"" ")</f>
        <v xml:space="preserve"> -  :  - </v>
      </c>
    </row>
    <row r="27" spans="2:14" x14ac:dyDescent="0.3">
      <c r="B27" s="118">
        <f>EDATE(T_DtIni[DATA INICIAL],ROW()-ROW($B$20)-1)</f>
        <v>42917</v>
      </c>
      <c r="C27" s="123"/>
      <c r="D27" s="119" t="str">
        <f>TEXT(IFERROR(SUMIFS('Fator R'!$C$13:$C$84,'Fator R'!$B$13:$B$84,$B27),0),"#.##0,00;; ""-"" ")&amp;" : "&amp;TEXT(IFERROR($C27/SUMIFS('Fator R'!$C$13:$C$84,'Fator R'!$B$13:$B$84,$B27),0),"#.##0,00% ;; ""-"" ")</f>
        <v xml:space="preserve"> -  :  - </v>
      </c>
    </row>
    <row r="28" spans="2:14" x14ac:dyDescent="0.3">
      <c r="B28" s="118">
        <f>EDATE(T_DtIni[DATA INICIAL],ROW()-ROW($B$20)-1)</f>
        <v>42948</v>
      </c>
      <c r="C28" s="123"/>
      <c r="D28" s="119" t="str">
        <f>TEXT(IFERROR(SUMIFS('Fator R'!$C$13:$C$84,'Fator R'!$B$13:$B$84,$B28),0),"#.##0,00;; ""-"" ")&amp;" : "&amp;TEXT(IFERROR($C28/SUMIFS('Fator R'!$C$13:$C$84,'Fator R'!$B$13:$B$84,$B28),0),"#.##0,00% ;; ""-"" ")</f>
        <v xml:space="preserve"> -  :  - </v>
      </c>
    </row>
    <row r="29" spans="2:14" x14ac:dyDescent="0.3">
      <c r="B29" s="118">
        <f>EDATE(T_DtIni[DATA INICIAL],ROW()-ROW($B$20)-1)</f>
        <v>42979</v>
      </c>
      <c r="C29" s="123"/>
      <c r="D29" s="119" t="str">
        <f>TEXT(IFERROR(SUMIFS('Fator R'!$C$13:$C$84,'Fator R'!$B$13:$B$84,$B29),0),"#.##0,00;; ""-"" ")&amp;" : "&amp;TEXT(IFERROR($C29/SUMIFS('Fator R'!$C$13:$C$84,'Fator R'!$B$13:$B$84,$B29),0),"#.##0,00% ;; ""-"" ")</f>
        <v xml:space="preserve"> -  :  - </v>
      </c>
    </row>
    <row r="30" spans="2:14" x14ac:dyDescent="0.3">
      <c r="B30" s="118">
        <f>EDATE(T_DtIni[DATA INICIAL],ROW()-ROW($B$20)-1)</f>
        <v>43009</v>
      </c>
      <c r="C30" s="123"/>
      <c r="D30" s="119" t="str">
        <f>TEXT(IFERROR(SUMIFS('Fator R'!$C$13:$C$84,'Fator R'!$B$13:$B$84,$B30),0),"#.##0,00;; ""-"" ")&amp;" : "&amp;TEXT(IFERROR($C30/SUMIFS('Fator R'!$C$13:$C$84,'Fator R'!$B$13:$B$84,$B30),0),"#.##0,00% ;; ""-"" ")</f>
        <v xml:space="preserve"> -  :  - </v>
      </c>
    </row>
    <row r="31" spans="2:14" x14ac:dyDescent="0.3">
      <c r="B31" s="118">
        <f>EDATE(T_DtIni[DATA INICIAL],ROW()-ROW($B$20)-1)</f>
        <v>43040</v>
      </c>
      <c r="C31" s="123"/>
      <c r="D31" s="119" t="str">
        <f>TEXT(IFERROR(SUMIFS('Fator R'!$C$13:$C$84,'Fator R'!$B$13:$B$84,$B31),0),"#.##0,00;; ""-"" ")&amp;" : "&amp;TEXT(IFERROR($C31/SUMIFS('Fator R'!$C$13:$C$84,'Fator R'!$B$13:$B$84,$B31),0),"#.##0,00% ;; ""-"" ")</f>
        <v xml:space="preserve"> -  :  - </v>
      </c>
    </row>
    <row r="32" spans="2:14" x14ac:dyDescent="0.3">
      <c r="B32" s="118">
        <f>EDATE(T_DtIni[DATA INICIAL],ROW()-ROW($B$20)-1)</f>
        <v>43070</v>
      </c>
      <c r="C32" s="123"/>
      <c r="D32" s="119" t="str">
        <f>TEXT(IFERROR(SUMIFS('Fator R'!$C$13:$C$84,'Fator R'!$B$13:$B$84,$B32),0),"#.##0,00;; ""-"" ")&amp;" : "&amp;TEXT(IFERROR($C32/SUMIFS('Fator R'!$C$13:$C$84,'Fator R'!$B$13:$B$84,$B32),0),"#.##0,00% ;; ""-"" ")</f>
        <v xml:space="preserve"> -  :  - </v>
      </c>
    </row>
    <row r="33" spans="2:4" x14ac:dyDescent="0.3">
      <c r="B33" s="118">
        <f>EDATE(T_DtIni[DATA INICIAL],ROW()-ROW($B$20)-1)</f>
        <v>43101</v>
      </c>
      <c r="C33" s="123"/>
      <c r="D33" s="119" t="str">
        <f>TEXT(IFERROR(SUMIFS('Fator R'!$C$13:$C$84,'Fator R'!$B$13:$B$84,$B33),0),"#.##0,00;; ""-"" ")&amp;" : "&amp;TEXT(IFERROR($C33/SUMIFS('Fator R'!$C$13:$C$84,'Fator R'!$B$13:$B$84,$B33),0),"#.##0,00% ;; ""-"" ")</f>
        <v xml:space="preserve"> -  :  - </v>
      </c>
    </row>
    <row r="34" spans="2:4" x14ac:dyDescent="0.3">
      <c r="B34" s="118">
        <f>EDATE(T_DtIni[DATA INICIAL],ROW()-ROW($B$20)-1)</f>
        <v>43132</v>
      </c>
      <c r="C34" s="123"/>
      <c r="D34" s="119" t="str">
        <f>TEXT(IFERROR(SUMIFS('Fator R'!$C$13:$C$84,'Fator R'!$B$13:$B$84,$B34),0),"#.##0,00;; ""-"" ")&amp;" : "&amp;TEXT(IFERROR($C34/SUMIFS('Fator R'!$C$13:$C$84,'Fator R'!$B$13:$B$84,$B34),0),"#.##0,00% ;; ""-"" ")</f>
        <v xml:space="preserve"> -  :  - </v>
      </c>
    </row>
    <row r="35" spans="2:4" x14ac:dyDescent="0.3">
      <c r="B35" s="118">
        <f>EDATE(T_DtIni[DATA INICIAL],ROW()-ROW($B$20)-1)</f>
        <v>43160</v>
      </c>
      <c r="C35" s="123"/>
      <c r="D35" s="119" t="str">
        <f>TEXT(IFERROR(SUMIFS('Fator R'!$C$13:$C$84,'Fator R'!$B$13:$B$84,$B35),0),"#.##0,00;; ""-"" ")&amp;" : "&amp;TEXT(IFERROR($C35/SUMIFS('Fator R'!$C$13:$C$84,'Fator R'!$B$13:$B$84,$B35),0),"#.##0,00% ;; ""-"" ")</f>
        <v xml:space="preserve"> -  :  - </v>
      </c>
    </row>
    <row r="36" spans="2:4" x14ac:dyDescent="0.3">
      <c r="B36" s="118">
        <f>EDATE(T_DtIni[DATA INICIAL],ROW()-ROW($B$20)-1)</f>
        <v>43191</v>
      </c>
      <c r="C36" s="123"/>
      <c r="D36" s="119" t="str">
        <f>TEXT(IFERROR(SUMIFS('Fator R'!$C$13:$C$84,'Fator R'!$B$13:$B$84,$B36),0),"#.##0,00;; ""-"" ")&amp;" : "&amp;TEXT(IFERROR($C36/SUMIFS('Fator R'!$C$13:$C$84,'Fator R'!$B$13:$B$84,$B36),0),"#.##0,00% ;; ""-"" ")</f>
        <v xml:space="preserve"> -  :  - </v>
      </c>
    </row>
    <row r="37" spans="2:4" x14ac:dyDescent="0.3">
      <c r="B37" s="118">
        <f>EDATE(T_DtIni[DATA INICIAL],ROW()-ROW($B$20)-1)</f>
        <v>43221</v>
      </c>
      <c r="C37" s="123"/>
      <c r="D37" s="119" t="str">
        <f>TEXT(IFERROR(SUMIFS('Fator R'!$C$13:$C$84,'Fator R'!$B$13:$B$84,$B37),0),"#.##0,00;; ""-"" ")&amp;" : "&amp;TEXT(IFERROR($C37/SUMIFS('Fator R'!$C$13:$C$84,'Fator R'!$B$13:$B$84,$B37),0),"#.##0,00% ;; ""-"" ")</f>
        <v xml:space="preserve"> -  :  - </v>
      </c>
    </row>
    <row r="38" spans="2:4" x14ac:dyDescent="0.3">
      <c r="B38" s="118">
        <f>EDATE(T_DtIni[DATA INICIAL],ROW()-ROW($B$20)-1)</f>
        <v>43252</v>
      </c>
      <c r="C38" s="123"/>
      <c r="D38" s="119" t="str">
        <f>TEXT(IFERROR(SUMIFS('Fator R'!$C$13:$C$84,'Fator R'!$B$13:$B$84,$B38),0),"#.##0,00;; ""-"" ")&amp;" : "&amp;TEXT(IFERROR($C38/SUMIFS('Fator R'!$C$13:$C$84,'Fator R'!$B$13:$B$84,$B38),0),"#.##0,00% ;; ""-"" ")</f>
        <v xml:space="preserve"> -  :  - </v>
      </c>
    </row>
    <row r="39" spans="2:4" x14ac:dyDescent="0.3">
      <c r="B39" s="118">
        <f>EDATE(T_DtIni[DATA INICIAL],ROW()-ROW($B$20)-1)</f>
        <v>43282</v>
      </c>
      <c r="C39" s="123"/>
      <c r="D39" s="119" t="str">
        <f>TEXT(IFERROR(SUMIFS('Fator R'!$C$13:$C$84,'Fator R'!$B$13:$B$84,$B39),0),"#.##0,00;; ""-"" ")&amp;" : "&amp;TEXT(IFERROR($C39/SUMIFS('Fator R'!$C$13:$C$84,'Fator R'!$B$13:$B$84,$B39),0),"#.##0,00% ;; ""-"" ")</f>
        <v xml:space="preserve"> -  :  - </v>
      </c>
    </row>
    <row r="40" spans="2:4" x14ac:dyDescent="0.3">
      <c r="B40" s="118">
        <f>EDATE(T_DtIni[DATA INICIAL],ROW()-ROW($B$20)-1)</f>
        <v>43313</v>
      </c>
      <c r="C40" s="123"/>
      <c r="D40" s="119" t="str">
        <f>TEXT(IFERROR(SUMIFS('Fator R'!$C$13:$C$84,'Fator R'!$B$13:$B$84,$B40),0),"#.##0,00;; ""-"" ")&amp;" : "&amp;TEXT(IFERROR($C40/SUMIFS('Fator R'!$C$13:$C$84,'Fator R'!$B$13:$B$84,$B40),0),"#.##0,00% ;; ""-"" ")</f>
        <v xml:space="preserve"> -  :  - </v>
      </c>
    </row>
    <row r="41" spans="2:4" x14ac:dyDescent="0.3">
      <c r="B41" s="118">
        <f>EDATE(T_DtIni[DATA INICIAL],ROW()-ROW($B$20)-1)</f>
        <v>43344</v>
      </c>
      <c r="C41" s="123"/>
      <c r="D41" s="119" t="str">
        <f>TEXT(IFERROR(SUMIFS('Fator R'!$C$13:$C$84,'Fator R'!$B$13:$B$84,$B41),0),"#.##0,00;; ""-"" ")&amp;" : "&amp;TEXT(IFERROR($C41/SUMIFS('Fator R'!$C$13:$C$84,'Fator R'!$B$13:$B$84,$B41),0),"#.##0,00% ;; ""-"" ")</f>
        <v xml:space="preserve"> -  :  - </v>
      </c>
    </row>
    <row r="42" spans="2:4" x14ac:dyDescent="0.3">
      <c r="B42" s="118">
        <f>EDATE(T_DtIni[DATA INICIAL],ROW()-ROW($B$20)-1)</f>
        <v>43374</v>
      </c>
      <c r="C42" s="123"/>
      <c r="D42" s="119" t="str">
        <f>TEXT(IFERROR(SUMIFS('Fator R'!$C$13:$C$84,'Fator R'!$B$13:$B$84,$B42),0),"#.##0,00;; ""-"" ")&amp;" : "&amp;TEXT(IFERROR($C42/SUMIFS('Fator R'!$C$13:$C$84,'Fator R'!$B$13:$B$84,$B42),0),"#.##0,00% ;; ""-"" ")</f>
        <v xml:space="preserve"> -  :  - </v>
      </c>
    </row>
    <row r="43" spans="2:4" x14ac:dyDescent="0.3">
      <c r="B43" s="118">
        <f>EDATE(T_DtIni[DATA INICIAL],ROW()-ROW($B$20)-1)</f>
        <v>43405</v>
      </c>
      <c r="C43" s="123"/>
      <c r="D43" s="119" t="str">
        <f>TEXT(IFERROR(SUMIFS('Fator R'!$C$13:$C$84,'Fator R'!$B$13:$B$84,$B43),0),"#.##0,00;; ""-"" ")&amp;" : "&amp;TEXT(IFERROR($C43/SUMIFS('Fator R'!$C$13:$C$84,'Fator R'!$B$13:$B$84,$B43),0),"#.##0,00% ;; ""-"" ")</f>
        <v xml:space="preserve"> -  :  - </v>
      </c>
    </row>
    <row r="44" spans="2:4" x14ac:dyDescent="0.3">
      <c r="B44" s="118">
        <f>EDATE(T_DtIni[DATA INICIAL],ROW()-ROW($B$20)-1)</f>
        <v>43435</v>
      </c>
      <c r="C44" s="123"/>
      <c r="D44" s="119" t="str">
        <f>TEXT(IFERROR(SUMIFS('Fator R'!$C$13:$C$84,'Fator R'!$B$13:$B$84,$B44),0),"#.##0,00;; ""-"" ")&amp;" : "&amp;TEXT(IFERROR($C44/SUMIFS('Fator R'!$C$13:$C$84,'Fator R'!$B$13:$B$84,$B44),0),"#.##0,00% ;; ""-"" ")</f>
        <v xml:space="preserve"> -  :  - </v>
      </c>
    </row>
    <row r="45" spans="2:4" x14ac:dyDescent="0.3">
      <c r="B45" s="118">
        <f>EDATE(T_DtIni[DATA INICIAL],ROW()-ROW($B$20)-1)</f>
        <v>43466</v>
      </c>
      <c r="C45" s="123"/>
      <c r="D45" s="119" t="str">
        <f>TEXT(IFERROR(SUMIFS('Fator R'!$C$13:$C$84,'Fator R'!$B$13:$B$84,$B45),0),"#.##0,00;; ""-"" ")&amp;" : "&amp;TEXT(IFERROR($C45/SUMIFS('Fator R'!$C$13:$C$84,'Fator R'!$B$13:$B$84,$B45),0),"#.##0,00% ;; ""-"" ")</f>
        <v xml:space="preserve"> -  :  - </v>
      </c>
    </row>
    <row r="46" spans="2:4" x14ac:dyDescent="0.3">
      <c r="B46" s="118">
        <f>EDATE(T_DtIni[DATA INICIAL],ROW()-ROW($B$20)-1)</f>
        <v>43497</v>
      </c>
      <c r="C46" s="123"/>
      <c r="D46" s="119" t="str">
        <f>TEXT(IFERROR(SUMIFS('Fator R'!$C$13:$C$84,'Fator R'!$B$13:$B$84,$B46),0),"#.##0,00;; ""-"" ")&amp;" : "&amp;TEXT(IFERROR($C46/SUMIFS('Fator R'!$C$13:$C$84,'Fator R'!$B$13:$B$84,$B46),0),"#.##0,00% ;; ""-"" ")</f>
        <v xml:space="preserve"> -  :  - </v>
      </c>
    </row>
    <row r="47" spans="2:4" x14ac:dyDescent="0.3">
      <c r="B47" s="118">
        <f>EDATE(T_DtIni[DATA INICIAL],ROW()-ROW($B$20)-1)</f>
        <v>43525</v>
      </c>
      <c r="C47" s="123"/>
      <c r="D47" s="119" t="str">
        <f>TEXT(IFERROR(SUMIFS('Fator R'!$C$13:$C$84,'Fator R'!$B$13:$B$84,$B47),0),"#.##0,00;; ""-"" ")&amp;" : "&amp;TEXT(IFERROR($C47/SUMIFS('Fator R'!$C$13:$C$84,'Fator R'!$B$13:$B$84,$B47),0),"#.##0,00% ;; ""-"" ")</f>
        <v xml:space="preserve"> -  :  - </v>
      </c>
    </row>
    <row r="48" spans="2:4" x14ac:dyDescent="0.3">
      <c r="B48" s="118">
        <f>EDATE(T_DtIni[DATA INICIAL],ROW()-ROW($B$20)-1)</f>
        <v>43556</v>
      </c>
      <c r="C48" s="123"/>
      <c r="D48" s="119" t="str">
        <f>TEXT(IFERROR(SUMIFS('Fator R'!$C$13:$C$84,'Fator R'!$B$13:$B$84,$B48),0),"#.##0,00;; ""-"" ")&amp;" : "&amp;TEXT(IFERROR($C48/SUMIFS('Fator R'!$C$13:$C$84,'Fator R'!$B$13:$B$84,$B48),0),"#.##0,00% ;; ""-"" ")</f>
        <v xml:space="preserve"> -  :  - </v>
      </c>
    </row>
    <row r="49" spans="2:4" x14ac:dyDescent="0.3">
      <c r="B49" s="118">
        <f>EDATE(T_DtIni[DATA INICIAL],ROW()-ROW($B$20)-1)</f>
        <v>43586</v>
      </c>
      <c r="C49" s="123"/>
      <c r="D49" s="119" t="str">
        <f>TEXT(IFERROR(SUMIFS('Fator R'!$C$13:$C$84,'Fator R'!$B$13:$B$84,$B49),0),"#.##0,00;; ""-"" ")&amp;" : "&amp;TEXT(IFERROR($C49/SUMIFS('Fator R'!$C$13:$C$84,'Fator R'!$B$13:$B$84,$B49),0),"#.##0,00% ;; ""-"" ")</f>
        <v xml:space="preserve"> -  :  - </v>
      </c>
    </row>
    <row r="50" spans="2:4" x14ac:dyDescent="0.3">
      <c r="B50" s="118">
        <f>EDATE(T_DtIni[DATA INICIAL],ROW()-ROW($B$20)-1)</f>
        <v>43617</v>
      </c>
      <c r="C50" s="123"/>
      <c r="D50" s="119" t="str">
        <f>TEXT(IFERROR(SUMIFS('Fator R'!$C$13:$C$84,'Fator R'!$B$13:$B$84,$B50),0),"#.##0,00;; ""-"" ")&amp;" : "&amp;TEXT(IFERROR($C50/SUMIFS('Fator R'!$C$13:$C$84,'Fator R'!$B$13:$B$84,$B50),0),"#.##0,00% ;; ""-"" ")</f>
        <v xml:space="preserve"> -  :  - </v>
      </c>
    </row>
    <row r="51" spans="2:4" x14ac:dyDescent="0.3">
      <c r="B51" s="118">
        <f>EDATE(T_DtIni[DATA INICIAL],ROW()-ROW($B$20)-1)</f>
        <v>43647</v>
      </c>
      <c r="C51" s="123"/>
      <c r="D51" s="119" t="str">
        <f>TEXT(IFERROR(SUMIFS('Fator R'!$C$13:$C$84,'Fator R'!$B$13:$B$84,$B51),0),"#.##0,00;; ""-"" ")&amp;" : "&amp;TEXT(IFERROR($C51/SUMIFS('Fator R'!$C$13:$C$84,'Fator R'!$B$13:$B$84,$B51),0),"#.##0,00% ;; ""-"" ")</f>
        <v xml:space="preserve"> -  :  - </v>
      </c>
    </row>
    <row r="52" spans="2:4" x14ac:dyDescent="0.3">
      <c r="B52" s="118">
        <f>EDATE(T_DtIni[DATA INICIAL],ROW()-ROW($B$20)-1)</f>
        <v>43678</v>
      </c>
      <c r="C52" s="123"/>
      <c r="D52" s="119" t="str">
        <f>TEXT(IFERROR(SUMIFS('Fator R'!$C$13:$C$84,'Fator R'!$B$13:$B$84,$B52),0),"#.##0,00;; ""-"" ")&amp;" : "&amp;TEXT(IFERROR($C52/SUMIFS('Fator R'!$C$13:$C$84,'Fator R'!$B$13:$B$84,$B52),0),"#.##0,00% ;; ""-"" ")</f>
        <v xml:space="preserve"> -  :  - </v>
      </c>
    </row>
    <row r="53" spans="2:4" x14ac:dyDescent="0.3">
      <c r="B53" s="118">
        <f>EDATE(T_DtIni[DATA INICIAL],ROW()-ROW($B$20)-1)</f>
        <v>43709</v>
      </c>
      <c r="C53" s="123"/>
      <c r="D53" s="119" t="str">
        <f>TEXT(IFERROR(SUMIFS('Fator R'!$C$13:$C$84,'Fator R'!$B$13:$B$84,$B53),0),"#.##0,00;; ""-"" ")&amp;" : "&amp;TEXT(IFERROR($C53/SUMIFS('Fator R'!$C$13:$C$84,'Fator R'!$B$13:$B$84,$B53),0),"#.##0,00% ;; ""-"" ")</f>
        <v xml:space="preserve"> -  :  - </v>
      </c>
    </row>
    <row r="54" spans="2:4" x14ac:dyDescent="0.3">
      <c r="B54" s="118">
        <f>EDATE(T_DtIni[DATA INICIAL],ROW()-ROW($B$20)-1)</f>
        <v>43739</v>
      </c>
      <c r="C54" s="123"/>
      <c r="D54" s="119" t="str">
        <f>TEXT(IFERROR(SUMIFS('Fator R'!$C$13:$C$84,'Fator R'!$B$13:$B$84,$B54),0),"#.##0,00;; ""-"" ")&amp;" : "&amp;TEXT(IFERROR($C54/SUMIFS('Fator R'!$C$13:$C$84,'Fator R'!$B$13:$B$84,$B54),0),"#.##0,00% ;; ""-"" ")</f>
        <v xml:space="preserve"> -  :  - </v>
      </c>
    </row>
    <row r="55" spans="2:4" x14ac:dyDescent="0.3">
      <c r="B55" s="118">
        <f>EDATE(T_DtIni[DATA INICIAL],ROW()-ROW($B$20)-1)</f>
        <v>43770</v>
      </c>
      <c r="C55" s="123"/>
      <c r="D55" s="119" t="str">
        <f>TEXT(IFERROR(SUMIFS('Fator R'!$C$13:$C$84,'Fator R'!$B$13:$B$84,$B55),0),"#.##0,00;; ""-"" ")&amp;" : "&amp;TEXT(IFERROR($C55/SUMIFS('Fator R'!$C$13:$C$84,'Fator R'!$B$13:$B$84,$B55),0),"#.##0,00% ;; ""-"" ")</f>
        <v xml:space="preserve"> -  :  - </v>
      </c>
    </row>
    <row r="56" spans="2:4" x14ac:dyDescent="0.3">
      <c r="B56" s="118">
        <f>EDATE(T_DtIni[DATA INICIAL],ROW()-ROW($B$20)-1)</f>
        <v>43800</v>
      </c>
      <c r="C56" s="123"/>
      <c r="D56" s="119" t="str">
        <f>TEXT(IFERROR(SUMIFS('Fator R'!$C$13:$C$84,'Fator R'!$B$13:$B$84,$B56),0),"#.##0,00;; ""-"" ")&amp;" : "&amp;TEXT(IFERROR($C56/SUMIFS('Fator R'!$C$13:$C$84,'Fator R'!$B$13:$B$84,$B56),0),"#.##0,00% ;; ""-"" ")</f>
        <v xml:space="preserve"> -  :  - </v>
      </c>
    </row>
    <row r="57" spans="2:4" x14ac:dyDescent="0.3">
      <c r="B57" s="118">
        <f>EDATE(T_DtIni[DATA INICIAL],ROW()-ROW($B$20)-1)</f>
        <v>43831</v>
      </c>
      <c r="C57" s="123"/>
      <c r="D57" s="119" t="str">
        <f>TEXT(IFERROR(SUMIFS('Fator R'!$C$13:$C$84,'Fator R'!$B$13:$B$84,$B57),0),"#.##0,00;; ""-"" ")&amp;" : "&amp;TEXT(IFERROR($C57/SUMIFS('Fator R'!$C$13:$C$84,'Fator R'!$B$13:$B$84,$B57),0),"#.##0,00% ;; ""-"" ")</f>
        <v xml:space="preserve"> -  :  - </v>
      </c>
    </row>
    <row r="58" spans="2:4" x14ac:dyDescent="0.3">
      <c r="B58" s="118">
        <f>EDATE(T_DtIni[DATA INICIAL],ROW()-ROW($B$20)-1)</f>
        <v>43862</v>
      </c>
      <c r="C58" s="123"/>
      <c r="D58" s="119" t="str">
        <f>TEXT(IFERROR(SUMIFS('Fator R'!$C$13:$C$84,'Fator R'!$B$13:$B$84,$B58),0),"#.##0,00;; ""-"" ")&amp;" : "&amp;TEXT(IFERROR($C58/SUMIFS('Fator R'!$C$13:$C$84,'Fator R'!$B$13:$B$84,$B58),0),"#.##0,00% ;; ""-"" ")</f>
        <v xml:space="preserve"> -  :  - </v>
      </c>
    </row>
    <row r="59" spans="2:4" x14ac:dyDescent="0.3">
      <c r="B59" s="118">
        <f>EDATE(T_DtIni[DATA INICIAL],ROW()-ROW($B$20)-1)</f>
        <v>43891</v>
      </c>
      <c r="C59" s="123"/>
      <c r="D59" s="119" t="str">
        <f>TEXT(IFERROR(SUMIFS('Fator R'!$C$13:$C$84,'Fator R'!$B$13:$B$84,$B59),0),"#.##0,00;; ""-"" ")&amp;" : "&amp;TEXT(IFERROR($C59/SUMIFS('Fator R'!$C$13:$C$84,'Fator R'!$B$13:$B$84,$B59),0),"#.##0,00% ;; ""-"" ")</f>
        <v xml:space="preserve"> -  :  - </v>
      </c>
    </row>
    <row r="60" spans="2:4" x14ac:dyDescent="0.3">
      <c r="B60" s="118">
        <f>EDATE(T_DtIni[DATA INICIAL],ROW()-ROW($B$20)-1)</f>
        <v>43922</v>
      </c>
      <c r="C60" s="123"/>
      <c r="D60" s="119" t="str">
        <f>TEXT(IFERROR(SUMIFS('Fator R'!$C$13:$C$84,'Fator R'!$B$13:$B$84,$B60),0),"#.##0,00;; ""-"" ")&amp;" : "&amp;TEXT(IFERROR($C60/SUMIFS('Fator R'!$C$13:$C$84,'Fator R'!$B$13:$B$84,$B60),0),"#.##0,00% ;; ""-"" ")</f>
        <v xml:space="preserve"> -  :  - </v>
      </c>
    </row>
    <row r="61" spans="2:4" x14ac:dyDescent="0.3">
      <c r="B61" s="118">
        <f>EDATE(T_DtIni[DATA INICIAL],ROW()-ROW($B$20)-1)</f>
        <v>43952</v>
      </c>
      <c r="C61" s="123"/>
      <c r="D61" s="119" t="str">
        <f>TEXT(IFERROR(SUMIFS('Fator R'!$C$13:$C$84,'Fator R'!$B$13:$B$84,$B61),0),"#.##0,00;; ""-"" ")&amp;" : "&amp;TEXT(IFERROR($C61/SUMIFS('Fator R'!$C$13:$C$84,'Fator R'!$B$13:$B$84,$B61),0),"#.##0,00% ;; ""-"" ")</f>
        <v xml:space="preserve"> -  :  - </v>
      </c>
    </row>
    <row r="62" spans="2:4" x14ac:dyDescent="0.3">
      <c r="B62" s="118">
        <f>EDATE(T_DtIni[DATA INICIAL],ROW()-ROW($B$20)-1)</f>
        <v>43983</v>
      </c>
      <c r="C62" s="123"/>
      <c r="D62" s="119" t="str">
        <f>TEXT(IFERROR(SUMIFS('Fator R'!$C$13:$C$84,'Fator R'!$B$13:$B$84,$B62),0),"#.##0,00;; ""-"" ")&amp;" : "&amp;TEXT(IFERROR($C62/SUMIFS('Fator R'!$C$13:$C$84,'Fator R'!$B$13:$B$84,$B62),0),"#.##0,00% ;; ""-"" ")</f>
        <v xml:space="preserve"> -  :  - </v>
      </c>
    </row>
    <row r="63" spans="2:4" x14ac:dyDescent="0.3">
      <c r="B63" s="118">
        <f>EDATE(T_DtIni[DATA INICIAL],ROW()-ROW($B$20)-1)</f>
        <v>44013</v>
      </c>
      <c r="C63" s="123"/>
      <c r="D63" s="119" t="str">
        <f>TEXT(IFERROR(SUMIFS('Fator R'!$C$13:$C$84,'Fator R'!$B$13:$B$84,$B63),0),"#.##0,00;; ""-"" ")&amp;" : "&amp;TEXT(IFERROR($C63/SUMIFS('Fator R'!$C$13:$C$84,'Fator R'!$B$13:$B$84,$B63),0),"#.##0,00% ;; ""-"" ")</f>
        <v xml:space="preserve"> -  :  - </v>
      </c>
    </row>
    <row r="64" spans="2:4" x14ac:dyDescent="0.3">
      <c r="B64" s="118">
        <f>EDATE(T_DtIni[DATA INICIAL],ROW()-ROW($B$20)-1)</f>
        <v>44044</v>
      </c>
      <c r="C64" s="123"/>
      <c r="D64" s="119" t="str">
        <f>TEXT(IFERROR(SUMIFS('Fator R'!$C$13:$C$84,'Fator R'!$B$13:$B$84,$B64),0),"#.##0,00;; ""-"" ")&amp;" : "&amp;TEXT(IFERROR($C64/SUMIFS('Fator R'!$C$13:$C$84,'Fator R'!$B$13:$B$84,$B64),0),"#.##0,00% ;; ""-"" ")</f>
        <v xml:space="preserve"> -  :  - </v>
      </c>
    </row>
    <row r="65" spans="2:4" x14ac:dyDescent="0.3">
      <c r="B65" s="118">
        <f>EDATE(T_DtIni[DATA INICIAL],ROW()-ROW($B$20)-1)</f>
        <v>44075</v>
      </c>
      <c r="C65" s="123"/>
      <c r="D65" s="119" t="str">
        <f>TEXT(IFERROR(SUMIFS('Fator R'!$C$13:$C$84,'Fator R'!$B$13:$B$84,$B65),0),"#.##0,00;; ""-"" ")&amp;" : "&amp;TEXT(IFERROR($C65/SUMIFS('Fator R'!$C$13:$C$84,'Fator R'!$B$13:$B$84,$B65),0),"#.##0,00% ;; ""-"" ")</f>
        <v xml:space="preserve"> -  :  - </v>
      </c>
    </row>
    <row r="66" spans="2:4" x14ac:dyDescent="0.3">
      <c r="B66" s="118">
        <f>EDATE(T_DtIni[DATA INICIAL],ROW()-ROW($B$20)-1)</f>
        <v>44105</v>
      </c>
      <c r="C66" s="123"/>
      <c r="D66" s="119" t="str">
        <f>TEXT(IFERROR(SUMIFS('Fator R'!$C$13:$C$84,'Fator R'!$B$13:$B$84,$B66),0),"#.##0,00;; ""-"" ")&amp;" : "&amp;TEXT(IFERROR($C66/SUMIFS('Fator R'!$C$13:$C$84,'Fator R'!$B$13:$B$84,$B66),0),"#.##0,00% ;; ""-"" ")</f>
        <v xml:space="preserve"> -  :  - </v>
      </c>
    </row>
    <row r="67" spans="2:4" x14ac:dyDescent="0.3">
      <c r="B67" s="118">
        <f>EDATE(T_DtIni[DATA INICIAL],ROW()-ROW($B$20)-1)</f>
        <v>44136</v>
      </c>
      <c r="C67" s="123"/>
      <c r="D67" s="119" t="str">
        <f>TEXT(IFERROR(SUMIFS('Fator R'!$C$13:$C$84,'Fator R'!$B$13:$B$84,$B67),0),"#.##0,00;; ""-"" ")&amp;" : "&amp;TEXT(IFERROR($C67/SUMIFS('Fator R'!$C$13:$C$84,'Fator R'!$B$13:$B$84,$B67),0),"#.##0,00% ;; ""-"" ")</f>
        <v xml:space="preserve"> -  :  - </v>
      </c>
    </row>
    <row r="68" spans="2:4" x14ac:dyDescent="0.3">
      <c r="B68" s="118">
        <f>EDATE(T_DtIni[DATA INICIAL],ROW()-ROW($B$20)-1)</f>
        <v>44166</v>
      </c>
      <c r="C68" s="123"/>
      <c r="D68" s="119" t="str">
        <f>TEXT(IFERROR(SUMIFS('Fator R'!$C$13:$C$84,'Fator R'!$B$13:$B$84,$B68),0),"#.##0,00;; ""-"" ")&amp;" : "&amp;TEXT(IFERROR($C68/SUMIFS('Fator R'!$C$13:$C$84,'Fator R'!$B$13:$B$84,$B68),0),"#.##0,00% ;; ""-"" ")</f>
        <v xml:space="preserve"> -  :  - </v>
      </c>
    </row>
    <row r="69" spans="2:4" x14ac:dyDescent="0.3">
      <c r="B69" s="118">
        <f>EDATE(T_DtIni[DATA INICIAL],ROW()-ROW($B$20)-1)</f>
        <v>44197</v>
      </c>
      <c r="C69" s="123"/>
      <c r="D69" s="119" t="str">
        <f>TEXT(IFERROR(SUMIFS('Fator R'!$C$13:$C$84,'Fator R'!$B$13:$B$84,$B69),0),"#.##0,00;; ""-"" ")&amp;" : "&amp;TEXT(IFERROR($C69/SUMIFS('Fator R'!$C$13:$C$84,'Fator R'!$B$13:$B$84,$B69),0),"#.##0,00% ;; ""-"" ")</f>
        <v xml:space="preserve"> -  :  - </v>
      </c>
    </row>
    <row r="70" spans="2:4" x14ac:dyDescent="0.3">
      <c r="B70" s="118">
        <f>EDATE(T_DtIni[DATA INICIAL],ROW()-ROW($B$20)-1)</f>
        <v>44228</v>
      </c>
      <c r="C70" s="123"/>
      <c r="D70" s="119" t="str">
        <f>TEXT(IFERROR(SUMIFS('Fator R'!$C$13:$C$84,'Fator R'!$B$13:$B$84,$B70),0),"#.##0,00;; ""-"" ")&amp;" : "&amp;TEXT(IFERROR($C70/SUMIFS('Fator R'!$C$13:$C$84,'Fator R'!$B$13:$B$84,$B70),0),"#.##0,00% ;; ""-"" ")</f>
        <v xml:space="preserve"> -  :  - </v>
      </c>
    </row>
    <row r="71" spans="2:4" x14ac:dyDescent="0.3">
      <c r="B71" s="118">
        <f>EDATE(T_DtIni[DATA INICIAL],ROW()-ROW($B$20)-1)</f>
        <v>44256</v>
      </c>
      <c r="C71" s="123"/>
      <c r="D71" s="119" t="str">
        <f>TEXT(IFERROR(SUMIFS('Fator R'!$C$13:$C$84,'Fator R'!$B$13:$B$84,$B71),0),"#.##0,00;; ""-"" ")&amp;" : "&amp;TEXT(IFERROR($C71/SUMIFS('Fator R'!$C$13:$C$84,'Fator R'!$B$13:$B$84,$B71),0),"#.##0,00% ;; ""-"" ")</f>
        <v xml:space="preserve"> -  :  - </v>
      </c>
    </row>
    <row r="72" spans="2:4" x14ac:dyDescent="0.3">
      <c r="B72" s="118">
        <f>EDATE(T_DtIni[DATA INICIAL],ROW()-ROW($B$20)-1)</f>
        <v>44287</v>
      </c>
      <c r="C72" s="123"/>
      <c r="D72" s="119" t="str">
        <f>TEXT(IFERROR(SUMIFS('Fator R'!$C$13:$C$84,'Fator R'!$B$13:$B$84,$B72),0),"#.##0,00;; ""-"" ")&amp;" : "&amp;TEXT(IFERROR($C72/SUMIFS('Fator R'!$C$13:$C$84,'Fator R'!$B$13:$B$84,$B72),0),"#.##0,00% ;; ""-"" ")</f>
        <v xml:space="preserve"> -  :  - </v>
      </c>
    </row>
    <row r="73" spans="2:4" x14ac:dyDescent="0.3">
      <c r="B73" s="118">
        <f>EDATE(T_DtIni[DATA INICIAL],ROW()-ROW($B$20)-1)</f>
        <v>44317</v>
      </c>
      <c r="C73" s="123"/>
      <c r="D73" s="119" t="str">
        <f>TEXT(IFERROR(SUMIFS('Fator R'!$C$13:$C$84,'Fator R'!$B$13:$B$84,$B73),0),"#.##0,00;; ""-"" ")&amp;" : "&amp;TEXT(IFERROR($C73/SUMIFS('Fator R'!$C$13:$C$84,'Fator R'!$B$13:$B$84,$B73),0),"#.##0,00% ;; ""-"" ")</f>
        <v xml:space="preserve"> -  :  - </v>
      </c>
    </row>
    <row r="74" spans="2:4" x14ac:dyDescent="0.3">
      <c r="B74" s="118">
        <f>EDATE(T_DtIni[DATA INICIAL],ROW()-ROW($B$20)-1)</f>
        <v>44348</v>
      </c>
      <c r="C74" s="123"/>
      <c r="D74" s="119" t="str">
        <f>TEXT(IFERROR(SUMIFS('Fator R'!$C$13:$C$84,'Fator R'!$B$13:$B$84,$B74),0),"#.##0,00;; ""-"" ")&amp;" : "&amp;TEXT(IFERROR($C74/SUMIFS('Fator R'!$C$13:$C$84,'Fator R'!$B$13:$B$84,$B74),0),"#.##0,00% ;; ""-"" ")</f>
        <v xml:space="preserve"> -  :  - </v>
      </c>
    </row>
    <row r="75" spans="2:4" x14ac:dyDescent="0.3">
      <c r="B75" s="118">
        <f>EDATE(T_DtIni[DATA INICIAL],ROW()-ROW($B$20)-1)</f>
        <v>44378</v>
      </c>
      <c r="C75" s="123"/>
      <c r="D75" s="119" t="str">
        <f>TEXT(IFERROR(SUMIFS('Fator R'!$C$13:$C$84,'Fator R'!$B$13:$B$84,$B75),0),"#.##0,00;; ""-"" ")&amp;" : "&amp;TEXT(IFERROR($C75/SUMIFS('Fator R'!$C$13:$C$84,'Fator R'!$B$13:$B$84,$B75),0),"#.##0,00% ;; ""-"" ")</f>
        <v xml:space="preserve"> -  :  - </v>
      </c>
    </row>
    <row r="76" spans="2:4" x14ac:dyDescent="0.3">
      <c r="B76" s="118">
        <f>EDATE(T_DtIni[DATA INICIAL],ROW()-ROW($B$20)-1)</f>
        <v>44409</v>
      </c>
      <c r="C76" s="123"/>
      <c r="D76" s="119" t="str">
        <f>TEXT(IFERROR(SUMIFS('Fator R'!$C$13:$C$84,'Fator R'!$B$13:$B$84,$B76),0),"#.##0,00;; ""-"" ")&amp;" : "&amp;TEXT(IFERROR($C76/SUMIFS('Fator R'!$C$13:$C$84,'Fator R'!$B$13:$B$84,$B76),0),"#.##0,00% ;; ""-"" ")</f>
        <v xml:space="preserve"> -  :  - </v>
      </c>
    </row>
    <row r="77" spans="2:4" x14ac:dyDescent="0.3">
      <c r="B77" s="118">
        <f>EDATE(T_DtIni[DATA INICIAL],ROW()-ROW($B$20)-1)</f>
        <v>44440</v>
      </c>
      <c r="C77" s="123"/>
      <c r="D77" s="119" t="str">
        <f>TEXT(IFERROR(SUMIFS('Fator R'!$C$13:$C$84,'Fator R'!$B$13:$B$84,$B77),0),"#.##0,00;; ""-"" ")&amp;" : "&amp;TEXT(IFERROR($C77/SUMIFS('Fator R'!$C$13:$C$84,'Fator R'!$B$13:$B$84,$B77),0),"#.##0,00% ;; ""-"" ")</f>
        <v xml:space="preserve"> -  :  - </v>
      </c>
    </row>
    <row r="78" spans="2:4" x14ac:dyDescent="0.3">
      <c r="B78" s="118">
        <f>EDATE(T_DtIni[DATA INICIAL],ROW()-ROW($B$20)-1)</f>
        <v>44470</v>
      </c>
      <c r="C78" s="123"/>
      <c r="D78" s="119" t="str">
        <f>TEXT(IFERROR(SUMIFS('Fator R'!$C$13:$C$84,'Fator R'!$B$13:$B$84,$B78),0),"#.##0,00;; ""-"" ")&amp;" : "&amp;TEXT(IFERROR($C78/SUMIFS('Fator R'!$C$13:$C$84,'Fator R'!$B$13:$B$84,$B78),0),"#.##0,00% ;; ""-"" ")</f>
        <v xml:space="preserve"> -  :  - </v>
      </c>
    </row>
    <row r="79" spans="2:4" x14ac:dyDescent="0.3">
      <c r="B79" s="118">
        <f>EDATE(T_DtIni[DATA INICIAL],ROW()-ROW($B$20)-1)</f>
        <v>44501</v>
      </c>
      <c r="C79" s="123"/>
      <c r="D79" s="119" t="str">
        <f>TEXT(IFERROR(SUMIFS('Fator R'!$C$13:$C$84,'Fator R'!$B$13:$B$84,$B79),0),"#.##0,00;; ""-"" ")&amp;" : "&amp;TEXT(IFERROR($C79/SUMIFS('Fator R'!$C$13:$C$84,'Fator R'!$B$13:$B$84,$B79),0),"#.##0,00% ;; ""-"" ")</f>
        <v xml:space="preserve"> -  :  - </v>
      </c>
    </row>
    <row r="80" spans="2:4" x14ac:dyDescent="0.3">
      <c r="B80" s="118">
        <f>EDATE(T_DtIni[DATA INICIAL],ROW()-ROW($B$20)-1)</f>
        <v>44531</v>
      </c>
      <c r="C80" s="123"/>
      <c r="D80" s="119" t="str">
        <f>TEXT(IFERROR(SUMIFS('Fator R'!$C$13:$C$84,'Fator R'!$B$13:$B$84,$B80),0),"#.##0,00;; ""-"" ")&amp;" : "&amp;TEXT(IFERROR($C80/SUMIFS('Fator R'!$C$13:$C$84,'Fator R'!$B$13:$B$84,$B80),0),"#.##0,00% ;; ""-"" ")</f>
        <v xml:space="preserve"> -  :  - </v>
      </c>
    </row>
    <row r="81" spans="2:4" x14ac:dyDescent="0.3">
      <c r="B81" s="118">
        <f>EDATE(T_DtIni[DATA INICIAL],ROW()-ROW($B$20)-1)</f>
        <v>44562</v>
      </c>
      <c r="C81" s="123"/>
      <c r="D81" s="119" t="str">
        <f>TEXT(IFERROR(SUMIFS('Fator R'!$C$13:$C$84,'Fator R'!$B$13:$B$84,$B81),0),"#.##0,00;; ""-"" ")&amp;" : "&amp;TEXT(IFERROR($C81/SUMIFS('Fator R'!$C$13:$C$84,'Fator R'!$B$13:$B$84,$B81),0),"#.##0,00% ;; ""-"" ")</f>
        <v xml:space="preserve"> -  :  - </v>
      </c>
    </row>
    <row r="82" spans="2:4" x14ac:dyDescent="0.3">
      <c r="B82" s="118">
        <f>EDATE(T_DtIni[DATA INICIAL],ROW()-ROW($B$20)-1)</f>
        <v>44593</v>
      </c>
      <c r="C82" s="123"/>
      <c r="D82" s="119" t="str">
        <f>TEXT(IFERROR(SUMIFS('Fator R'!$C$13:$C$84,'Fator R'!$B$13:$B$84,$B82),0),"#.##0,00;; ""-"" ")&amp;" : "&amp;TEXT(IFERROR($C82/SUMIFS('Fator R'!$C$13:$C$84,'Fator R'!$B$13:$B$84,$B82),0),"#.##0,00% ;; ""-"" ")</f>
        <v xml:space="preserve"> -  :  - </v>
      </c>
    </row>
    <row r="83" spans="2:4" x14ac:dyDescent="0.3">
      <c r="B83" s="118">
        <f>EDATE(T_DtIni[DATA INICIAL],ROW()-ROW($B$20)-1)</f>
        <v>44621</v>
      </c>
      <c r="C83" s="123"/>
      <c r="D83" s="119" t="str">
        <f>TEXT(IFERROR(SUMIFS('Fator R'!$C$13:$C$84,'Fator R'!$B$13:$B$84,$B83),0),"#.##0,00;; ""-"" ")&amp;" : "&amp;TEXT(IFERROR($C83/SUMIFS('Fator R'!$C$13:$C$84,'Fator R'!$B$13:$B$84,$B83),0),"#.##0,00% ;; ""-"" ")</f>
        <v xml:space="preserve"> -  :  - </v>
      </c>
    </row>
    <row r="84" spans="2:4" x14ac:dyDescent="0.3">
      <c r="B84" s="118">
        <f>EDATE(T_DtIni[DATA INICIAL],ROW()-ROW($B$20)-1)</f>
        <v>44652</v>
      </c>
      <c r="C84" s="123"/>
      <c r="D84" s="119" t="str">
        <f>TEXT(IFERROR(SUMIFS('Fator R'!$C$13:$C$84,'Fator R'!$B$13:$B$84,$B84),0),"#.##0,00;; ""-"" ")&amp;" : "&amp;TEXT(IFERROR($C84/SUMIFS('Fator R'!$C$13:$C$84,'Fator R'!$B$13:$B$84,$B84),0),"#.##0,00% ;; ""-"" ")</f>
        <v xml:space="preserve"> -  :  - </v>
      </c>
    </row>
    <row r="85" spans="2:4" x14ac:dyDescent="0.3">
      <c r="B85" s="118">
        <f>EDATE(T_DtIni[DATA INICIAL],ROW()-ROW($B$20)-1)</f>
        <v>44682</v>
      </c>
      <c r="C85" s="123"/>
      <c r="D85" s="119" t="str">
        <f>TEXT(IFERROR(SUMIFS('Fator R'!$C$13:$C$84,'Fator R'!$B$13:$B$84,$B85),0),"#.##0,00;; ""-"" ")&amp;" : "&amp;TEXT(IFERROR($C85/SUMIFS('Fator R'!$C$13:$C$84,'Fator R'!$B$13:$B$84,$B85),0),"#.##0,00% ;; ""-"" ")</f>
        <v xml:space="preserve"> -  :  - </v>
      </c>
    </row>
    <row r="86" spans="2:4" x14ac:dyDescent="0.3">
      <c r="B86" s="118">
        <f>EDATE(T_DtIni[DATA INICIAL],ROW()-ROW($B$20)-1)</f>
        <v>44713</v>
      </c>
      <c r="C86" s="123"/>
      <c r="D86" s="119" t="str">
        <f>TEXT(IFERROR(SUMIFS('Fator R'!$C$13:$C$84,'Fator R'!$B$13:$B$84,$B86),0),"#.##0,00;; ""-"" ")&amp;" : "&amp;TEXT(IFERROR($C86/SUMIFS('Fator R'!$C$13:$C$84,'Fator R'!$B$13:$B$84,$B86),0),"#.##0,00% ;; ""-"" ")</f>
        <v xml:space="preserve"> -  :  - </v>
      </c>
    </row>
    <row r="87" spans="2:4" x14ac:dyDescent="0.3">
      <c r="B87" s="118">
        <f>EDATE(T_DtIni[DATA INICIAL],ROW()-ROW($B$20)-1)</f>
        <v>44743</v>
      </c>
      <c r="C87" s="123"/>
      <c r="D87" s="119" t="str">
        <f>TEXT(IFERROR(SUMIFS('Fator R'!$C$13:$C$84,'Fator R'!$B$13:$B$84,$B87),0),"#.##0,00;; ""-"" ")&amp;" : "&amp;TEXT(IFERROR($C87/SUMIFS('Fator R'!$C$13:$C$84,'Fator R'!$B$13:$B$84,$B87),0),"#.##0,00% ;; ""-"" ")</f>
        <v xml:space="preserve"> -  :  - </v>
      </c>
    </row>
    <row r="88" spans="2:4" x14ac:dyDescent="0.3">
      <c r="B88" s="118">
        <f>EDATE(T_DtIni[DATA INICIAL],ROW()-ROW($B$20)-1)</f>
        <v>44774</v>
      </c>
      <c r="C88" s="123"/>
      <c r="D88" s="119" t="str">
        <f>TEXT(IFERROR(SUMIFS('Fator R'!$C$13:$C$84,'Fator R'!$B$13:$B$84,$B88),0),"#.##0,00;; ""-"" ")&amp;" : "&amp;TEXT(IFERROR($C88/SUMIFS('Fator R'!$C$13:$C$84,'Fator R'!$B$13:$B$84,$B88),0),"#.##0,00% ;; ""-"" ")</f>
        <v xml:space="preserve"> -  :  - </v>
      </c>
    </row>
    <row r="89" spans="2:4" x14ac:dyDescent="0.3">
      <c r="B89" s="118">
        <f>EDATE(T_DtIni[DATA INICIAL],ROW()-ROW($B$20)-1)</f>
        <v>44805</v>
      </c>
      <c r="C89" s="123"/>
      <c r="D89" s="119" t="str">
        <f>TEXT(IFERROR(SUMIFS('Fator R'!$C$13:$C$84,'Fator R'!$B$13:$B$84,$B89),0),"#.##0,00;; ""-"" ")&amp;" : "&amp;TEXT(IFERROR($C89/SUMIFS('Fator R'!$C$13:$C$84,'Fator R'!$B$13:$B$84,$B89),0),"#.##0,00% ;; ""-"" ")</f>
        <v xml:space="preserve"> -  :  - </v>
      </c>
    </row>
    <row r="90" spans="2:4" x14ac:dyDescent="0.3">
      <c r="B90" s="118">
        <f>EDATE(T_DtIni[DATA INICIAL],ROW()-ROW($B$20)-1)</f>
        <v>44835</v>
      </c>
      <c r="C90" s="123"/>
      <c r="D90" s="119" t="str">
        <f>TEXT(IFERROR(SUMIFS('Fator R'!$C$13:$C$84,'Fator R'!$B$13:$B$84,$B90),0),"#.##0,00;; ""-"" ")&amp;" : "&amp;TEXT(IFERROR($C90/SUMIFS('Fator R'!$C$13:$C$84,'Fator R'!$B$13:$B$84,$B90),0),"#.##0,00% ;; ""-"" ")</f>
        <v xml:space="preserve"> -  :  - </v>
      </c>
    </row>
    <row r="91" spans="2:4" x14ac:dyDescent="0.3">
      <c r="B91" s="118">
        <f>EDATE(T_DtIni[DATA INICIAL],ROW()-ROW($B$20)-1)</f>
        <v>44866</v>
      </c>
      <c r="C91" s="123"/>
      <c r="D91" s="119" t="str">
        <f>TEXT(IFERROR(SUMIFS('Fator R'!$C$13:$C$84,'Fator R'!$B$13:$B$84,$B91),0),"#.##0,00;; ""-"" ")&amp;" : "&amp;TEXT(IFERROR($C91/SUMIFS('Fator R'!$C$13:$C$84,'Fator R'!$B$13:$B$84,$B91),0),"#.##0,00% ;; ""-"" ")</f>
        <v xml:space="preserve"> -  :  - </v>
      </c>
    </row>
    <row r="92" spans="2:4" ht="15" thickBot="1" x14ac:dyDescent="0.35">
      <c r="B92" s="120">
        <f>EDATE(T_DtIni[DATA INICIAL],ROW()-ROW($B$20)-1)</f>
        <v>44896</v>
      </c>
      <c r="C92" s="124"/>
      <c r="D92" s="121" t="str">
        <f>TEXT(IFERROR(SUMIFS('Fator R'!$C$13:$C$84,'Fator R'!$B$13:$B$84,$B92),0),"#.##0,00;; ""-"" ")&amp;" : "&amp;TEXT(IFERROR($C92/SUMIFS('Fator R'!$C$13:$C$84,'Fator R'!$B$13:$B$84,$B92),0),"#.##0,00% ;; ""-"" ")</f>
        <v xml:space="preserve"> -  :  - </v>
      </c>
    </row>
  </sheetData>
  <sheetProtection algorithmName="SHA-512" hashValue="N9guyk0IISruOOy6yYqoT8SqdAZAUZE0SOpHHXZV8i8v0Jiq2FvbrnjfmLzD9N23eF916Iq32ePFwbIc0gEknA==" saltValue="cTho/TOZGwYsnSjKRFuWIQ==" spinCount="100000" sheet="1" objects="1" scenarios="1"/>
  <mergeCells count="5">
    <mergeCell ref="B19:D19"/>
    <mergeCell ref="C7:D7"/>
    <mergeCell ref="C8:D9"/>
    <mergeCell ref="B3:N3"/>
    <mergeCell ref="B5:N5"/>
  </mergeCells>
  <conditionalFormatting sqref="B21:B92 D21:D92">
    <cfRule type="expression" dxfId="297" priority="5">
      <formula>$B21=INDIRECT("T_DtRef")</formula>
    </cfRule>
  </conditionalFormatting>
  <conditionalFormatting sqref="C21:D92">
    <cfRule type="expression" dxfId="296" priority="6">
      <formula>$B21=EDATE(INDIRECT("T_DtRef"),-INDIRECT("T_QtdeMeses"))</formula>
    </cfRule>
    <cfRule type="expression" dxfId="295" priority="7">
      <formula>AND($B21&lt;EDATE(INDIRECT("T_DtRef"),-1),$B21&gt;EDATE(INDIRECT("T_DtRef"),-INDIRECT("T_QtdeMeses")))</formula>
    </cfRule>
    <cfRule type="expression" dxfId="294" priority="8">
      <formula>$B21=EDATE(INDIRECT("T_DtRef"),-1)</formula>
    </cfRule>
  </conditionalFormatting>
  <conditionalFormatting sqref="B5:N5">
    <cfRule type="cellIs" dxfId="293" priority="2" operator="notEqual">
      <formula>""</formula>
    </cfRule>
  </conditionalFormatting>
  <conditionalFormatting sqref="N8:N9 H8">
    <cfRule type="expression" dxfId="292" priority="1">
      <formula>OR(AND(INDIRECT("T_IseICMS[ISENÇÃO ICMS]")=1,$C$8&lt;=360000),INDIRECT("T_Sublimite"))</formula>
    </cfRule>
  </conditionalFormatting>
  <pageMargins left="0.51181102362204722" right="0.51181102362204722" top="0.78740157480314965" bottom="0.78740157480314965" header="0.31496062992125984" footer="0.31496062992125984"/>
  <pageSetup paperSize="9"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Mês Referência">
              <controlPr defaultSize="0" autoLine="0" autoPict="0">
                <anchor>
                  <from>
                    <xdr:col>1</xdr:col>
                    <xdr:colOff>68580</xdr:colOff>
                    <xdr:row>7</xdr:row>
                    <xdr:rowOff>160020</xdr:rowOff>
                  </from>
                  <to>
                    <xdr:col>1</xdr:col>
                    <xdr:colOff>693420</xdr:colOff>
                    <xdr:row>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Drop Down 2">
              <controlPr defaultSize="0" autoLine="0" autoPict="0">
                <anchor moveWithCells="1">
                  <from>
                    <xdr:col>14</xdr:col>
                    <xdr:colOff>472440</xdr:colOff>
                    <xdr:row>6</xdr:row>
                    <xdr:rowOff>373380</xdr:rowOff>
                  </from>
                  <to>
                    <xdr:col>14</xdr:col>
                    <xdr:colOff>1363980</xdr:colOff>
                    <xdr:row>7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tableParts count="6"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69259081-20FC-4E95-B3E8-E8EBA9B5398A}">
            <xm:f>INDIRECT("T_FaixaA1[[#Esta Linha];[FAIXA]]")=SUPORTE!$Q$6</xm:f>
            <x14:dxf>
              <font>
                <b/>
                <i val="0"/>
              </font>
              <fill>
                <patternFill>
                  <bgColor theme="4" tint="0.79998168889431442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</border>
            </x14:dxf>
          </x14:cfRule>
          <xm:sqref>B12:D17 F12:N17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47D8A-A366-47C3-9835-6B17B62D0C16}">
  <sheetPr codeName="Planilha4">
    <tabColor rgb="FF62A9C6"/>
  </sheetPr>
  <dimension ref="B1:AB92"/>
  <sheetViews>
    <sheetView showGridLines="0" showRowColHeaders="0" zoomScale="85" zoomScaleNormal="85" workbookViewId="0">
      <selection activeCell="C21" sqref="C21"/>
    </sheetView>
  </sheetViews>
  <sheetFormatPr defaultColWidth="9.109375" defaultRowHeight="14.4" x14ac:dyDescent="0.3"/>
  <cols>
    <col min="1" max="1" width="5.6640625" style="27" customWidth="1"/>
    <col min="2" max="2" width="12" style="27" customWidth="1"/>
    <col min="3" max="3" width="15" style="27" bestFit="1" customWidth="1"/>
    <col min="4" max="4" width="21.109375" style="27" customWidth="1"/>
    <col min="5" max="5" width="5.5546875" style="27" customWidth="1"/>
    <col min="6" max="6" width="6.33203125" style="27" customWidth="1"/>
    <col min="7" max="7" width="19.6640625" style="27" customWidth="1"/>
    <col min="8" max="8" width="17.44140625" style="27" customWidth="1"/>
    <col min="9" max="15" width="15.33203125" style="27" customWidth="1"/>
    <col min="16" max="16" width="28.5546875" style="27" customWidth="1"/>
    <col min="17" max="17" width="10.109375" style="27" hidden="1" customWidth="1"/>
    <col min="18" max="20" width="9.109375" style="27" hidden="1" customWidth="1"/>
    <col min="21" max="21" width="9.6640625" style="27" hidden="1" customWidth="1"/>
    <col min="22" max="26" width="9.109375" style="27" hidden="1" customWidth="1"/>
    <col min="27" max="27" width="12.5546875" style="27" hidden="1" customWidth="1"/>
    <col min="28" max="28" width="75.33203125" style="27" hidden="1" customWidth="1"/>
    <col min="29" max="16384" width="9.109375" style="27"/>
  </cols>
  <sheetData>
    <row r="1" spans="2:28" s="26" customFormat="1" ht="40.5" customHeight="1" thickBot="1" x14ac:dyDescent="0.55000000000000004">
      <c r="B1" s="33" t="s">
        <v>15</v>
      </c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Q1" s="86" t="s">
        <v>71</v>
      </c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</row>
    <row r="2" spans="2:28" s="26" customFormat="1" ht="5.25" customHeight="1" thickTop="1" x14ac:dyDescent="0.3">
      <c r="B2" s="37"/>
    </row>
    <row r="3" spans="2:28" s="26" customFormat="1" ht="21" customHeight="1" x14ac:dyDescent="0.3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2:28" s="26" customFormat="1" ht="7.5" customHeight="1" x14ac:dyDescent="0.3">
      <c r="B4" s="37"/>
    </row>
    <row r="5" spans="2:28" s="26" customFormat="1" ht="33" customHeight="1" x14ac:dyDescent="0.3">
      <c r="B5" s="145" t="str">
        <f>CONCATENATE(IF(AA8,AB8&amp;" ",""),IF(AA9,AB9&amp;" ",""),IF(AA11,AB11&amp;" ",""))</f>
        <v/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67"/>
      <c r="P5" s="68"/>
    </row>
    <row r="6" spans="2:28" s="26" customFormat="1" ht="7.5" customHeight="1" thickBot="1" x14ac:dyDescent="0.35">
      <c r="B6" s="37"/>
    </row>
    <row r="7" spans="2:28" ht="30" customHeight="1" thickBot="1" x14ac:dyDescent="0.35">
      <c r="B7" s="38" t="s">
        <v>22</v>
      </c>
      <c r="C7" s="138" t="s">
        <v>85</v>
      </c>
      <c r="D7" s="139"/>
      <c r="F7" s="39" t="s">
        <v>5</v>
      </c>
      <c r="G7" s="40" t="s">
        <v>64</v>
      </c>
      <c r="H7" s="83" t="s">
        <v>79</v>
      </c>
      <c r="I7" s="31" t="s">
        <v>8</v>
      </c>
      <c r="J7" s="31" t="s">
        <v>9</v>
      </c>
      <c r="K7" s="31" t="s">
        <v>10</v>
      </c>
      <c r="L7" s="31" t="s">
        <v>11</v>
      </c>
      <c r="M7" s="31" t="s">
        <v>89</v>
      </c>
      <c r="N7" s="31" t="s">
        <v>38</v>
      </c>
      <c r="O7" s="31" t="s">
        <v>12</v>
      </c>
      <c r="Q7" s="31" t="s">
        <v>8</v>
      </c>
      <c r="R7" s="31" t="s">
        <v>9</v>
      </c>
      <c r="S7" s="31" t="s">
        <v>10</v>
      </c>
      <c r="T7" s="31" t="s">
        <v>11</v>
      </c>
      <c r="U7" s="31" t="s">
        <v>89</v>
      </c>
      <c r="V7" s="31" t="s">
        <v>38</v>
      </c>
      <c r="W7" s="31" t="s">
        <v>12</v>
      </c>
      <c r="X7" s="31" t="s">
        <v>27</v>
      </c>
      <c r="AA7" s="27" t="s">
        <v>43</v>
      </c>
      <c r="AB7" s="27" t="s">
        <v>42</v>
      </c>
    </row>
    <row r="8" spans="2:28" ht="22.5" customHeight="1" thickBot="1" x14ac:dyDescent="0.35">
      <c r="B8" s="41"/>
      <c r="C8" s="140">
        <f>SUPORTE!$Q$4</f>
        <v>0</v>
      </c>
      <c r="D8" s="141"/>
      <c r="F8" s="42">
        <f>SUPORTE!$Q$6</f>
        <v>1</v>
      </c>
      <c r="G8" s="43">
        <f>IFERROR(SUMIFS('Anexo II - Indústria'!$C$21:$C$92,'Anexo II - Indústria'!$B$21:$B$92,T_DtRef[DATA REFERENCIA]),0)</f>
        <v>0</v>
      </c>
      <c r="H8" s="79">
        <f>IFERROR(T_AliquotaA2[ALÍQUOTA NOMINAL]-IF(OR(AND(T_IseICMS[ISENÇÃO ICMS]=1,$C$8&lt;=360000),T_Sublimite[LIMITE 3600K]),T_A2Suporte[[#This Row],[ICMS]],0),0)</f>
        <v>0</v>
      </c>
      <c r="I8" s="44">
        <f>IFERROR(Q8*IF(OR(AND(T_IseICMS[ISENÇÃO ICMS]=1,$C$8&lt;=360000),T_Sublimite[LIMITE 3600K]),Q10,1),0)</f>
        <v>0</v>
      </c>
      <c r="J8" s="44">
        <f>IFERROR(R8*IF(OR(AND(T_IseICMS[ISENÇÃO ICMS]=1,$C$8&lt;=360000),T_Sublimite[LIMITE 3600K]),R10,1),0)</f>
        <v>0</v>
      </c>
      <c r="K8" s="44">
        <f>IFERROR(S8*IF(OR(AND(T_IseICMS[ISENÇÃO ICMS]=1,$C$8&lt;=360000),T_Sublimite[LIMITE 3600K]),S10,1),0)</f>
        <v>0</v>
      </c>
      <c r="L8" s="44">
        <f>IFERROR(T8*IF(OR(AND(T_IseICMS[ISENÇÃO ICMS]=1,$C$8&lt;=360000),T_Sublimite[LIMITE 3600K]),T10,1),0)</f>
        <v>0</v>
      </c>
      <c r="M8" s="44">
        <f>IFERROR(U8*IF(OR(AND(T_IseICMS[ISENÇÃO ICMS]=1,$C$8&lt;=360000),T_Sublimite[LIMITE 3600K]),U10,1),0)</f>
        <v>0</v>
      </c>
      <c r="N8" s="44">
        <f>IFERROR(V8*IF(OR(AND(T_IseICMS[ISENÇÃO ICMS]=1,$C$8&lt;=360000),T_Sublimite[LIMITE 3600K]),V10,1),0)</f>
        <v>0</v>
      </c>
      <c r="O8" s="44">
        <f>IFERROR(W8*IF(OR(AND(T_IseICMS[ISENÇÃO ICMS]=1,$C$8&lt;=360000),T_Sublimite[LIMITE 3600K]),W10,1),0)</f>
        <v>0</v>
      </c>
      <c r="Q8" s="45">
        <f>IFERROR(VLOOKUP(SUPORTE!$Q$6,T_TaxaA2[],MATCH(Q7,T_TaxaA2[#Headers],0),0)*T_AliquotaA2[ALÍQUOTA NOMINAL],0)</f>
        <v>0</v>
      </c>
      <c r="R8" s="45">
        <f>IFERROR(VLOOKUP(SUPORTE!$Q$6,T_TaxaA2[],MATCH(R7,T_TaxaA2[#Headers],0),0)*T_AliquotaA2[ALÍQUOTA NOMINAL],0)</f>
        <v>0</v>
      </c>
      <c r="S8" s="45">
        <f>IFERROR(VLOOKUP(SUPORTE!$Q$6,T_TaxaA2[],MATCH(S7,T_TaxaA2[#Headers],0),0)*T_AliquotaA2[ALÍQUOTA NOMINAL],0)</f>
        <v>0</v>
      </c>
      <c r="T8" s="45">
        <f>IFERROR(VLOOKUP(SUPORTE!$Q$6,T_TaxaA2[],MATCH(T7,T_TaxaA2[#Headers],0),0)*T_AliquotaA2[ALÍQUOTA NOMINAL],0)</f>
        <v>0</v>
      </c>
      <c r="U8" s="45">
        <f>IFERROR(VLOOKUP(SUPORTE!$Q$6,T_TaxaA2[],MATCH(U7,T_TaxaA2[#Headers],0),0)*T_AliquotaA2[ALÍQUOTA NOMINAL],0)</f>
        <v>0</v>
      </c>
      <c r="V8" s="45">
        <f>IFERROR(VLOOKUP(SUPORTE!$Q$6,T_TaxaA2[],MATCH(V7,T_TaxaA2[#Headers],0),0)*T_AliquotaA2[ALÍQUOTA NOMINAL],0)</f>
        <v>0</v>
      </c>
      <c r="W8" s="45">
        <f>IFERROR(VLOOKUP(SUPORTE!$Q$6,T_TaxaA2[],MATCH(W7,T_TaxaA2[#Headers],0),0)*T_AliquotaA2[ALÍQUOTA NOMINAL],0)</f>
        <v>0</v>
      </c>
      <c r="X8" s="45">
        <f>SUM(T_A2Suporte[[#This Row],[IRPJ]:[ICMS]])</f>
        <v>0</v>
      </c>
      <c r="AA8" s="27" t="b">
        <f>T_IseICMS[ISENÇÃO ICMS]=1</f>
        <v>0</v>
      </c>
      <c r="AB8" s="27" t="s">
        <v>87</v>
      </c>
    </row>
    <row r="9" spans="2:28" ht="22.5" customHeight="1" thickBot="1" x14ac:dyDescent="0.35">
      <c r="B9" s="46"/>
      <c r="C9" s="142"/>
      <c r="D9" s="143"/>
      <c r="F9" s="47" t="s">
        <v>26</v>
      </c>
      <c r="G9" s="48" t="s">
        <v>26</v>
      </c>
      <c r="H9" s="80">
        <f>IFERROR(SUM(T_A2[[#This Row],[IRPJ]:[ICMS]]),0)</f>
        <v>0</v>
      </c>
      <c r="I9" s="49">
        <f t="shared" ref="I9:O9" si="0">$G$8*I$8</f>
        <v>0</v>
      </c>
      <c r="J9" s="49">
        <f t="shared" si="0"/>
        <v>0</v>
      </c>
      <c r="K9" s="49">
        <f t="shared" si="0"/>
        <v>0</v>
      </c>
      <c r="L9" s="49">
        <f t="shared" si="0"/>
        <v>0</v>
      </c>
      <c r="M9" s="49">
        <f t="shared" si="0"/>
        <v>0</v>
      </c>
      <c r="N9" s="49">
        <f t="shared" si="0"/>
        <v>0</v>
      </c>
      <c r="O9" s="49">
        <f t="shared" si="0"/>
        <v>0</v>
      </c>
      <c r="Q9" s="45">
        <f t="shared" ref="Q9:W9" si="1">ROUND(Q8,4)</f>
        <v>0</v>
      </c>
      <c r="R9" s="45">
        <f t="shared" si="1"/>
        <v>0</v>
      </c>
      <c r="S9" s="45">
        <f t="shared" si="1"/>
        <v>0</v>
      </c>
      <c r="T9" s="45">
        <f t="shared" si="1"/>
        <v>0</v>
      </c>
      <c r="U9" s="45">
        <f t="shared" si="1"/>
        <v>0</v>
      </c>
      <c r="V9" s="45">
        <f t="shared" si="1"/>
        <v>0</v>
      </c>
      <c r="W9" s="45">
        <f t="shared" si="1"/>
        <v>0</v>
      </c>
      <c r="X9" s="45">
        <f>SUM(T_A2Suporte[[#This Row],[IRPJ]:[ICMS]])</f>
        <v>0</v>
      </c>
      <c r="AA9" s="27" t="b">
        <f>T_Sublimite[LIMITE 3600K]</f>
        <v>0</v>
      </c>
      <c r="AB9" s="27" t="s">
        <v>82</v>
      </c>
    </row>
    <row r="10" spans="2:28" x14ac:dyDescent="0.3">
      <c r="Q10" s="75">
        <v>1</v>
      </c>
      <c r="R10" s="75">
        <v>1</v>
      </c>
      <c r="S10" s="75">
        <v>1</v>
      </c>
      <c r="T10" s="75">
        <v>1</v>
      </c>
      <c r="U10" s="75">
        <v>1</v>
      </c>
      <c r="V10" s="75">
        <v>1</v>
      </c>
      <c r="W10" s="75">
        <v>0</v>
      </c>
      <c r="X10" s="76">
        <f>SUM(T_A2Suporte[[#This Row],[IRPJ]:[ICMS]])</f>
        <v>6</v>
      </c>
      <c r="AA10" s="74"/>
    </row>
    <row r="11" spans="2:28" x14ac:dyDescent="0.3">
      <c r="B11" s="50" t="s">
        <v>5</v>
      </c>
      <c r="C11" s="50" t="s">
        <v>6</v>
      </c>
      <c r="D11" s="50" t="s">
        <v>33</v>
      </c>
      <c r="F11" s="71" t="s">
        <v>5</v>
      </c>
      <c r="G11" s="72" t="s">
        <v>32</v>
      </c>
      <c r="H11" s="71" t="s">
        <v>78</v>
      </c>
      <c r="I11" s="71" t="s">
        <v>8</v>
      </c>
      <c r="J11" s="71" t="s">
        <v>9</v>
      </c>
      <c r="K11" s="71" t="s">
        <v>10</v>
      </c>
      <c r="L11" s="71" t="s">
        <v>11</v>
      </c>
      <c r="M11" s="71" t="s">
        <v>89</v>
      </c>
      <c r="N11" s="71" t="s">
        <v>38</v>
      </c>
      <c r="O11" s="50" t="s">
        <v>12</v>
      </c>
    </row>
    <row r="12" spans="2:28" x14ac:dyDescent="0.3">
      <c r="B12" s="50">
        <v>1</v>
      </c>
      <c r="C12" s="52">
        <v>0</v>
      </c>
      <c r="D12" s="52">
        <v>180000</v>
      </c>
      <c r="F12" s="50">
        <v>1</v>
      </c>
      <c r="G12" s="53">
        <v>0</v>
      </c>
      <c r="H12" s="54">
        <v>4.4999999999999998E-2</v>
      </c>
      <c r="I12" s="54">
        <v>5.5E-2</v>
      </c>
      <c r="J12" s="54">
        <v>3.5000000000000003E-2</v>
      </c>
      <c r="K12" s="54">
        <v>0.11509999999999999</v>
      </c>
      <c r="L12" s="54">
        <v>2.4899999999999999E-2</v>
      </c>
      <c r="M12" s="54">
        <v>0.375</v>
      </c>
      <c r="N12" s="54">
        <v>7.4999999999999997E-2</v>
      </c>
      <c r="O12" s="63">
        <v>0.32</v>
      </c>
    </row>
    <row r="13" spans="2:28" ht="15" customHeight="1" thickBot="1" x14ac:dyDescent="0.35">
      <c r="B13" s="50">
        <v>2</v>
      </c>
      <c r="C13" s="52">
        <v>180000.01</v>
      </c>
      <c r="D13" s="52">
        <v>360000</v>
      </c>
      <c r="F13" s="50">
        <v>2</v>
      </c>
      <c r="G13" s="53">
        <v>5940</v>
      </c>
      <c r="H13" s="54">
        <v>7.8E-2</v>
      </c>
      <c r="I13" s="54">
        <v>5.5E-2</v>
      </c>
      <c r="J13" s="54">
        <v>3.5000000000000003E-2</v>
      </c>
      <c r="K13" s="54">
        <v>0.11509999999999999</v>
      </c>
      <c r="L13" s="54">
        <v>2.4899999999999999E-2</v>
      </c>
      <c r="M13" s="54">
        <v>0.375</v>
      </c>
      <c r="N13" s="54">
        <v>7.4999999999999997E-2</v>
      </c>
      <c r="O13" s="63">
        <v>0.32</v>
      </c>
      <c r="Q13" s="27" t="s">
        <v>78</v>
      </c>
    </row>
    <row r="14" spans="2:28" x14ac:dyDescent="0.3">
      <c r="B14" s="50">
        <v>3</v>
      </c>
      <c r="C14" s="52">
        <v>360000.01</v>
      </c>
      <c r="D14" s="52">
        <v>720000</v>
      </c>
      <c r="F14" s="50">
        <v>3</v>
      </c>
      <c r="G14" s="53">
        <v>13860</v>
      </c>
      <c r="H14" s="54">
        <v>0.1</v>
      </c>
      <c r="I14" s="54">
        <v>5.5E-2</v>
      </c>
      <c r="J14" s="54">
        <v>3.5000000000000003E-2</v>
      </c>
      <c r="K14" s="54">
        <v>0.11509999999999999</v>
      </c>
      <c r="L14" s="54">
        <v>2.4899999999999999E-2</v>
      </c>
      <c r="M14" s="54">
        <v>0.375</v>
      </c>
      <c r="N14" s="54">
        <v>7.4999999999999997E-2</v>
      </c>
      <c r="O14" s="63">
        <v>0.32</v>
      </c>
      <c r="Q14" s="82">
        <f>IFERROR(($C$8*VLOOKUP(SUPORTE!$Q$6,T_TaxaA2[],MATCH(Q13,T_TaxaA2[#Headers],0),0)-VLOOKUP(SUPORTE!$Q$6,T_TaxaA2[],MATCH("VALOR A DEDUZIR (R$)",T_TaxaA2[#Headers],0),0))/$C$8,0)</f>
        <v>0</v>
      </c>
    </row>
    <row r="15" spans="2:28" x14ac:dyDescent="0.3">
      <c r="B15" s="50">
        <v>4</v>
      </c>
      <c r="C15" s="52">
        <v>720000.01</v>
      </c>
      <c r="D15" s="52">
        <v>1800000</v>
      </c>
      <c r="F15" s="50">
        <v>4</v>
      </c>
      <c r="G15" s="53">
        <v>22500</v>
      </c>
      <c r="H15" s="54">
        <v>0.112</v>
      </c>
      <c r="I15" s="54">
        <v>5.5E-2</v>
      </c>
      <c r="J15" s="54">
        <v>3.5000000000000003E-2</v>
      </c>
      <c r="K15" s="54">
        <v>0.11509999999999999</v>
      </c>
      <c r="L15" s="54">
        <v>2.4899999999999999E-2</v>
      </c>
      <c r="M15" s="54">
        <v>0.375</v>
      </c>
      <c r="N15" s="54">
        <v>7.4999999999999997E-2</v>
      </c>
      <c r="O15" s="63">
        <v>0.32</v>
      </c>
    </row>
    <row r="16" spans="2:28" x14ac:dyDescent="0.3">
      <c r="B16" s="50">
        <v>5</v>
      </c>
      <c r="C16" s="52">
        <v>1800000.01</v>
      </c>
      <c r="D16" s="52">
        <v>3600000</v>
      </c>
      <c r="F16" s="50">
        <v>5</v>
      </c>
      <c r="G16" s="53">
        <v>85500</v>
      </c>
      <c r="H16" s="54">
        <v>0.14699999999999999</v>
      </c>
      <c r="I16" s="54">
        <v>5.5E-2</v>
      </c>
      <c r="J16" s="54">
        <v>3.5000000000000003E-2</v>
      </c>
      <c r="K16" s="54">
        <v>0.11509999999999999</v>
      </c>
      <c r="L16" s="54">
        <v>2.4899999999999999E-2</v>
      </c>
      <c r="M16" s="54">
        <v>0.375</v>
      </c>
      <c r="N16" s="54">
        <v>7.4999999999999997E-2</v>
      </c>
      <c r="O16" s="63">
        <v>0.32</v>
      </c>
    </row>
    <row r="17" spans="2:15" x14ac:dyDescent="0.3">
      <c r="B17" s="50">
        <v>6</v>
      </c>
      <c r="C17" s="52">
        <v>3600000.01</v>
      </c>
      <c r="D17" s="52">
        <v>4800000</v>
      </c>
      <c r="F17" s="50">
        <v>6</v>
      </c>
      <c r="G17" s="53">
        <v>720000</v>
      </c>
      <c r="H17" s="54">
        <v>0.3</v>
      </c>
      <c r="I17" s="54">
        <v>8.5000000000000006E-2</v>
      </c>
      <c r="J17" s="54">
        <v>7.4999999999999997E-2</v>
      </c>
      <c r="K17" s="54">
        <v>0.20960000000000001</v>
      </c>
      <c r="L17" s="54">
        <v>4.5400000000000003E-2</v>
      </c>
      <c r="M17" s="54">
        <v>0.23499999999999999</v>
      </c>
      <c r="N17" s="55">
        <v>0.35</v>
      </c>
      <c r="O17" s="63">
        <v>0</v>
      </c>
    </row>
    <row r="19" spans="2:15" ht="36.75" customHeight="1" thickBot="1" x14ac:dyDescent="0.35">
      <c r="B19" s="137" t="s">
        <v>76</v>
      </c>
      <c r="C19" s="137"/>
      <c r="D19" s="137"/>
    </row>
    <row r="20" spans="2:15" ht="15" thickBot="1" x14ac:dyDescent="0.35">
      <c r="B20" s="113" t="s">
        <v>0</v>
      </c>
      <c r="C20" s="114" t="s">
        <v>1</v>
      </c>
      <c r="D20" s="115" t="s">
        <v>37</v>
      </c>
      <c r="F20" s="56"/>
      <c r="G20" s="57"/>
      <c r="H20" s="57"/>
      <c r="I20" s="57"/>
      <c r="J20" s="57"/>
      <c r="K20" s="57"/>
      <c r="L20" s="57"/>
      <c r="M20" s="57"/>
      <c r="N20" s="58"/>
    </row>
    <row r="21" spans="2:15" x14ac:dyDescent="0.3">
      <c r="B21" s="116">
        <f>EDATE(T_DtIni[DATA INICIAL],ROW()-ROW($B$20)-1)</f>
        <v>42736</v>
      </c>
      <c r="C21" s="122"/>
      <c r="D21" s="117" t="str">
        <f>TEXT(IFERROR(SUMIFS('Fator R'!$C$13:$C$84,'Fator R'!$B$13:$B$84,$B21),0),"#.##0,00;; ""-"" ")&amp;" : "&amp;TEXT(IFERROR($C21/SUMIFS('Fator R'!$C$13:$C$84,'Fator R'!$B$13:$B$84,$B21),0),"#.##0,00% ;; ""-"" ")</f>
        <v xml:space="preserve"> -  :  - </v>
      </c>
    </row>
    <row r="22" spans="2:15" x14ac:dyDescent="0.3">
      <c r="B22" s="118">
        <f>EDATE(T_DtIni[DATA INICIAL],ROW()-ROW($B$20)-1)</f>
        <v>42767</v>
      </c>
      <c r="C22" s="123"/>
      <c r="D22" s="119" t="str">
        <f>TEXT(IFERROR(SUMIFS('Fator R'!$C$13:$C$84,'Fator R'!$B$13:$B$84,$B22),0),"#.##0,00;; ""-"" ")&amp;" : "&amp;TEXT(IFERROR($C22/SUMIFS('Fator R'!$C$13:$C$84,'Fator R'!$B$13:$B$84,$B22),0),"#.##0,00% ;; ""-"" ")</f>
        <v xml:space="preserve"> -  :  - </v>
      </c>
    </row>
    <row r="23" spans="2:15" x14ac:dyDescent="0.3">
      <c r="B23" s="118">
        <f>EDATE(T_DtIni[DATA INICIAL],ROW()-ROW($B$20)-1)</f>
        <v>42795</v>
      </c>
      <c r="C23" s="123"/>
      <c r="D23" s="119" t="str">
        <f>TEXT(IFERROR(SUMIFS('Fator R'!$C$13:$C$84,'Fator R'!$B$13:$B$84,$B23),0),"#.##0,00;; ""-"" ")&amp;" : "&amp;TEXT(IFERROR($C23/SUMIFS('Fator R'!$C$13:$C$84,'Fator R'!$B$13:$B$84,$B23),0),"#.##0,00% ;; ""-"" ")</f>
        <v xml:space="preserve"> -  :  - </v>
      </c>
    </row>
    <row r="24" spans="2:15" x14ac:dyDescent="0.3">
      <c r="B24" s="118">
        <f>EDATE(T_DtIni[DATA INICIAL],ROW()-ROW($B$20)-1)</f>
        <v>42826</v>
      </c>
      <c r="C24" s="123"/>
      <c r="D24" s="119" t="str">
        <f>TEXT(IFERROR(SUMIFS('Fator R'!$C$13:$C$84,'Fator R'!$B$13:$B$84,$B24),0),"#.##0,00;; ""-"" ")&amp;" : "&amp;TEXT(IFERROR($C24/SUMIFS('Fator R'!$C$13:$C$84,'Fator R'!$B$13:$B$84,$B24),0),"#.##0,00% ;; ""-"" ")</f>
        <v xml:space="preserve"> -  :  - </v>
      </c>
    </row>
    <row r="25" spans="2:15" x14ac:dyDescent="0.3">
      <c r="B25" s="118">
        <f>EDATE(T_DtIni[DATA INICIAL],ROW()-ROW($B$20)-1)</f>
        <v>42856</v>
      </c>
      <c r="C25" s="123"/>
      <c r="D25" s="119" t="str">
        <f>TEXT(IFERROR(SUMIFS('Fator R'!$C$13:$C$84,'Fator R'!$B$13:$B$84,$B25),0),"#.##0,00;; ""-"" ")&amp;" : "&amp;TEXT(IFERROR($C25/SUMIFS('Fator R'!$C$13:$C$84,'Fator R'!$B$13:$B$84,$B25),0),"#.##0,00% ;; ""-"" ")</f>
        <v xml:space="preserve"> -  :  - </v>
      </c>
    </row>
    <row r="26" spans="2:15" x14ac:dyDescent="0.3">
      <c r="B26" s="118">
        <f>EDATE(T_DtIni[DATA INICIAL],ROW()-ROW($B$20)-1)</f>
        <v>42887</v>
      </c>
      <c r="C26" s="123"/>
      <c r="D26" s="119" t="str">
        <f>TEXT(IFERROR(SUMIFS('Fator R'!$C$13:$C$84,'Fator R'!$B$13:$B$84,$B26),0),"#.##0,00;; ""-"" ")&amp;" : "&amp;TEXT(IFERROR($C26/SUMIFS('Fator R'!$C$13:$C$84,'Fator R'!$B$13:$B$84,$B26),0),"#.##0,00% ;; ""-"" ")</f>
        <v xml:space="preserve"> -  :  - </v>
      </c>
    </row>
    <row r="27" spans="2:15" x14ac:dyDescent="0.3">
      <c r="B27" s="118">
        <f>EDATE(T_DtIni[DATA INICIAL],ROW()-ROW($B$20)-1)</f>
        <v>42917</v>
      </c>
      <c r="C27" s="123"/>
      <c r="D27" s="119" t="str">
        <f>TEXT(IFERROR(SUMIFS('Fator R'!$C$13:$C$84,'Fator R'!$B$13:$B$84,$B27),0),"#.##0,00;; ""-"" ")&amp;" : "&amp;TEXT(IFERROR($C27/SUMIFS('Fator R'!$C$13:$C$84,'Fator R'!$B$13:$B$84,$B27),0),"#.##0,00% ;; ""-"" ")</f>
        <v xml:space="preserve"> -  :  - </v>
      </c>
    </row>
    <row r="28" spans="2:15" x14ac:dyDescent="0.3">
      <c r="B28" s="118">
        <f>EDATE(T_DtIni[DATA INICIAL],ROW()-ROW($B$20)-1)</f>
        <v>42948</v>
      </c>
      <c r="C28" s="123"/>
      <c r="D28" s="119" t="str">
        <f>TEXT(IFERROR(SUMIFS('Fator R'!$C$13:$C$84,'Fator R'!$B$13:$B$84,$B28),0),"#.##0,00;; ""-"" ")&amp;" : "&amp;TEXT(IFERROR($C28/SUMIFS('Fator R'!$C$13:$C$84,'Fator R'!$B$13:$B$84,$B28),0),"#.##0,00% ;; ""-"" ")</f>
        <v xml:space="preserve"> -  :  - </v>
      </c>
    </row>
    <row r="29" spans="2:15" x14ac:dyDescent="0.3">
      <c r="B29" s="118">
        <f>EDATE(T_DtIni[DATA INICIAL],ROW()-ROW($B$20)-1)</f>
        <v>42979</v>
      </c>
      <c r="C29" s="123"/>
      <c r="D29" s="119" t="str">
        <f>TEXT(IFERROR(SUMIFS('Fator R'!$C$13:$C$84,'Fator R'!$B$13:$B$84,$B29),0),"#.##0,00;; ""-"" ")&amp;" : "&amp;TEXT(IFERROR($C29/SUMIFS('Fator R'!$C$13:$C$84,'Fator R'!$B$13:$B$84,$B29),0),"#.##0,00% ;; ""-"" ")</f>
        <v xml:space="preserve"> -  :  - </v>
      </c>
    </row>
    <row r="30" spans="2:15" x14ac:dyDescent="0.3">
      <c r="B30" s="118">
        <f>EDATE(T_DtIni[DATA INICIAL],ROW()-ROW($B$20)-1)</f>
        <v>43009</v>
      </c>
      <c r="C30" s="123"/>
      <c r="D30" s="119" t="str">
        <f>TEXT(IFERROR(SUMIFS('Fator R'!$C$13:$C$84,'Fator R'!$B$13:$B$84,$B30),0),"#.##0,00;; ""-"" ")&amp;" : "&amp;TEXT(IFERROR($C30/SUMIFS('Fator R'!$C$13:$C$84,'Fator R'!$B$13:$B$84,$B30),0),"#.##0,00% ;; ""-"" ")</f>
        <v xml:space="preserve"> -  :  - </v>
      </c>
    </row>
    <row r="31" spans="2:15" x14ac:dyDescent="0.3">
      <c r="B31" s="118">
        <f>EDATE(T_DtIni[DATA INICIAL],ROW()-ROW($B$20)-1)</f>
        <v>43040</v>
      </c>
      <c r="C31" s="123"/>
      <c r="D31" s="119" t="str">
        <f>TEXT(IFERROR(SUMIFS('Fator R'!$C$13:$C$84,'Fator R'!$B$13:$B$84,$B31),0),"#.##0,00;; ""-"" ")&amp;" : "&amp;TEXT(IFERROR($C31/SUMIFS('Fator R'!$C$13:$C$84,'Fator R'!$B$13:$B$84,$B31),0),"#.##0,00% ;; ""-"" ")</f>
        <v xml:space="preserve"> -  :  - </v>
      </c>
    </row>
    <row r="32" spans="2:15" x14ac:dyDescent="0.3">
      <c r="B32" s="118">
        <f>EDATE(T_DtIni[DATA INICIAL],ROW()-ROW($B$20)-1)</f>
        <v>43070</v>
      </c>
      <c r="C32" s="123"/>
      <c r="D32" s="119" t="str">
        <f>TEXT(IFERROR(SUMIFS('Fator R'!$C$13:$C$84,'Fator R'!$B$13:$B$84,$B32),0),"#.##0,00;; ""-"" ")&amp;" : "&amp;TEXT(IFERROR($C32/SUMIFS('Fator R'!$C$13:$C$84,'Fator R'!$B$13:$B$84,$B32),0),"#.##0,00% ;; ""-"" ")</f>
        <v xml:space="preserve"> -  :  - </v>
      </c>
    </row>
    <row r="33" spans="2:4" x14ac:dyDescent="0.3">
      <c r="B33" s="118">
        <f>EDATE(T_DtIni[DATA INICIAL],ROW()-ROW($B$20)-1)</f>
        <v>43101</v>
      </c>
      <c r="C33" s="123"/>
      <c r="D33" s="119" t="str">
        <f>TEXT(IFERROR(SUMIFS('Fator R'!$C$13:$C$84,'Fator R'!$B$13:$B$84,$B33),0),"#.##0,00;; ""-"" ")&amp;" : "&amp;TEXT(IFERROR($C33/SUMIFS('Fator R'!$C$13:$C$84,'Fator R'!$B$13:$B$84,$B33),0),"#.##0,00% ;; ""-"" ")</f>
        <v xml:space="preserve"> -  :  - </v>
      </c>
    </row>
    <row r="34" spans="2:4" x14ac:dyDescent="0.3">
      <c r="B34" s="118">
        <f>EDATE(T_DtIni[DATA INICIAL],ROW()-ROW($B$20)-1)</f>
        <v>43132</v>
      </c>
      <c r="C34" s="123"/>
      <c r="D34" s="119" t="str">
        <f>TEXT(IFERROR(SUMIFS('Fator R'!$C$13:$C$84,'Fator R'!$B$13:$B$84,$B34),0),"#.##0,00;; ""-"" ")&amp;" : "&amp;TEXT(IFERROR($C34/SUMIFS('Fator R'!$C$13:$C$84,'Fator R'!$B$13:$B$84,$B34),0),"#.##0,00% ;; ""-"" ")</f>
        <v xml:space="preserve"> -  :  - </v>
      </c>
    </row>
    <row r="35" spans="2:4" x14ac:dyDescent="0.3">
      <c r="B35" s="118">
        <f>EDATE(T_DtIni[DATA INICIAL],ROW()-ROW($B$20)-1)</f>
        <v>43160</v>
      </c>
      <c r="C35" s="123"/>
      <c r="D35" s="119" t="str">
        <f>TEXT(IFERROR(SUMIFS('Fator R'!$C$13:$C$84,'Fator R'!$B$13:$B$84,$B35),0),"#.##0,00;; ""-"" ")&amp;" : "&amp;TEXT(IFERROR($C35/SUMIFS('Fator R'!$C$13:$C$84,'Fator R'!$B$13:$B$84,$B35),0),"#.##0,00% ;; ""-"" ")</f>
        <v xml:space="preserve"> -  :  - </v>
      </c>
    </row>
    <row r="36" spans="2:4" x14ac:dyDescent="0.3">
      <c r="B36" s="118">
        <f>EDATE(T_DtIni[DATA INICIAL],ROW()-ROW($B$20)-1)</f>
        <v>43191</v>
      </c>
      <c r="C36" s="123"/>
      <c r="D36" s="119" t="str">
        <f>TEXT(IFERROR(SUMIFS('Fator R'!$C$13:$C$84,'Fator R'!$B$13:$B$84,$B36),0),"#.##0,00;; ""-"" ")&amp;" : "&amp;TEXT(IFERROR($C36/SUMIFS('Fator R'!$C$13:$C$84,'Fator R'!$B$13:$B$84,$B36),0),"#.##0,00% ;; ""-"" ")</f>
        <v xml:space="preserve"> -  :  - </v>
      </c>
    </row>
    <row r="37" spans="2:4" x14ac:dyDescent="0.3">
      <c r="B37" s="118">
        <f>EDATE(T_DtIni[DATA INICIAL],ROW()-ROW($B$20)-1)</f>
        <v>43221</v>
      </c>
      <c r="C37" s="123"/>
      <c r="D37" s="119" t="str">
        <f>TEXT(IFERROR(SUMIFS('Fator R'!$C$13:$C$84,'Fator R'!$B$13:$B$84,$B37),0),"#.##0,00;; ""-"" ")&amp;" : "&amp;TEXT(IFERROR($C37/SUMIFS('Fator R'!$C$13:$C$84,'Fator R'!$B$13:$B$84,$B37),0),"#.##0,00% ;; ""-"" ")</f>
        <v xml:space="preserve"> -  :  - </v>
      </c>
    </row>
    <row r="38" spans="2:4" x14ac:dyDescent="0.3">
      <c r="B38" s="118">
        <f>EDATE(T_DtIni[DATA INICIAL],ROW()-ROW($B$20)-1)</f>
        <v>43252</v>
      </c>
      <c r="C38" s="123"/>
      <c r="D38" s="119" t="str">
        <f>TEXT(IFERROR(SUMIFS('Fator R'!$C$13:$C$84,'Fator R'!$B$13:$B$84,$B38),0),"#.##0,00;; ""-"" ")&amp;" : "&amp;TEXT(IFERROR($C38/SUMIFS('Fator R'!$C$13:$C$84,'Fator R'!$B$13:$B$84,$B38),0),"#.##0,00% ;; ""-"" ")</f>
        <v xml:space="preserve"> -  :  - </v>
      </c>
    </row>
    <row r="39" spans="2:4" x14ac:dyDescent="0.3">
      <c r="B39" s="118">
        <f>EDATE(T_DtIni[DATA INICIAL],ROW()-ROW($B$20)-1)</f>
        <v>43282</v>
      </c>
      <c r="C39" s="123"/>
      <c r="D39" s="119" t="str">
        <f>TEXT(IFERROR(SUMIFS('Fator R'!$C$13:$C$84,'Fator R'!$B$13:$B$84,$B39),0),"#.##0,00;; ""-"" ")&amp;" : "&amp;TEXT(IFERROR($C39/SUMIFS('Fator R'!$C$13:$C$84,'Fator R'!$B$13:$B$84,$B39),0),"#.##0,00% ;; ""-"" ")</f>
        <v xml:space="preserve"> -  :  - </v>
      </c>
    </row>
    <row r="40" spans="2:4" x14ac:dyDescent="0.3">
      <c r="B40" s="118">
        <f>EDATE(T_DtIni[DATA INICIAL],ROW()-ROW($B$20)-1)</f>
        <v>43313</v>
      </c>
      <c r="C40" s="123"/>
      <c r="D40" s="119" t="str">
        <f>TEXT(IFERROR(SUMIFS('Fator R'!$C$13:$C$84,'Fator R'!$B$13:$B$84,$B40),0),"#.##0,00;; ""-"" ")&amp;" : "&amp;TEXT(IFERROR($C40/SUMIFS('Fator R'!$C$13:$C$84,'Fator R'!$B$13:$B$84,$B40),0),"#.##0,00% ;; ""-"" ")</f>
        <v xml:space="preserve"> -  :  - </v>
      </c>
    </row>
    <row r="41" spans="2:4" x14ac:dyDescent="0.3">
      <c r="B41" s="118">
        <f>EDATE(T_DtIni[DATA INICIAL],ROW()-ROW($B$20)-1)</f>
        <v>43344</v>
      </c>
      <c r="C41" s="123"/>
      <c r="D41" s="119" t="str">
        <f>TEXT(IFERROR(SUMIFS('Fator R'!$C$13:$C$84,'Fator R'!$B$13:$B$84,$B41),0),"#.##0,00;; ""-"" ")&amp;" : "&amp;TEXT(IFERROR($C41/SUMIFS('Fator R'!$C$13:$C$84,'Fator R'!$B$13:$B$84,$B41),0),"#.##0,00% ;; ""-"" ")</f>
        <v xml:space="preserve"> -  :  - </v>
      </c>
    </row>
    <row r="42" spans="2:4" x14ac:dyDescent="0.3">
      <c r="B42" s="118">
        <f>EDATE(T_DtIni[DATA INICIAL],ROW()-ROW($B$20)-1)</f>
        <v>43374</v>
      </c>
      <c r="C42" s="123"/>
      <c r="D42" s="119" t="str">
        <f>TEXT(IFERROR(SUMIFS('Fator R'!$C$13:$C$84,'Fator R'!$B$13:$B$84,$B42),0),"#.##0,00;; ""-"" ")&amp;" : "&amp;TEXT(IFERROR($C42/SUMIFS('Fator R'!$C$13:$C$84,'Fator R'!$B$13:$B$84,$B42),0),"#.##0,00% ;; ""-"" ")</f>
        <v xml:space="preserve"> -  :  - </v>
      </c>
    </row>
    <row r="43" spans="2:4" x14ac:dyDescent="0.3">
      <c r="B43" s="118">
        <f>EDATE(T_DtIni[DATA INICIAL],ROW()-ROW($B$20)-1)</f>
        <v>43405</v>
      </c>
      <c r="C43" s="123"/>
      <c r="D43" s="119" t="str">
        <f>TEXT(IFERROR(SUMIFS('Fator R'!$C$13:$C$84,'Fator R'!$B$13:$B$84,$B43),0),"#.##0,00;; ""-"" ")&amp;" : "&amp;TEXT(IFERROR($C43/SUMIFS('Fator R'!$C$13:$C$84,'Fator R'!$B$13:$B$84,$B43),0),"#.##0,00% ;; ""-"" ")</f>
        <v xml:space="preserve"> -  :  - </v>
      </c>
    </row>
    <row r="44" spans="2:4" x14ac:dyDescent="0.3">
      <c r="B44" s="118">
        <f>EDATE(T_DtIni[DATA INICIAL],ROW()-ROW($B$20)-1)</f>
        <v>43435</v>
      </c>
      <c r="C44" s="123"/>
      <c r="D44" s="119" t="str">
        <f>TEXT(IFERROR(SUMIFS('Fator R'!$C$13:$C$84,'Fator R'!$B$13:$B$84,$B44),0),"#.##0,00;; ""-"" ")&amp;" : "&amp;TEXT(IFERROR($C44/SUMIFS('Fator R'!$C$13:$C$84,'Fator R'!$B$13:$B$84,$B44),0),"#.##0,00% ;; ""-"" ")</f>
        <v xml:space="preserve"> -  :  - </v>
      </c>
    </row>
    <row r="45" spans="2:4" x14ac:dyDescent="0.3">
      <c r="B45" s="118">
        <f>EDATE(T_DtIni[DATA INICIAL],ROW()-ROW($B$20)-1)</f>
        <v>43466</v>
      </c>
      <c r="C45" s="123"/>
      <c r="D45" s="119" t="str">
        <f>TEXT(IFERROR(SUMIFS('Fator R'!$C$13:$C$84,'Fator R'!$B$13:$B$84,$B45),0),"#.##0,00;; ""-"" ")&amp;" : "&amp;TEXT(IFERROR($C45/SUMIFS('Fator R'!$C$13:$C$84,'Fator R'!$B$13:$B$84,$B45),0),"#.##0,00% ;; ""-"" ")</f>
        <v xml:space="preserve"> -  :  - </v>
      </c>
    </row>
    <row r="46" spans="2:4" x14ac:dyDescent="0.3">
      <c r="B46" s="118">
        <f>EDATE(T_DtIni[DATA INICIAL],ROW()-ROW($B$20)-1)</f>
        <v>43497</v>
      </c>
      <c r="C46" s="123"/>
      <c r="D46" s="119" t="str">
        <f>TEXT(IFERROR(SUMIFS('Fator R'!$C$13:$C$84,'Fator R'!$B$13:$B$84,$B46),0),"#.##0,00;; ""-"" ")&amp;" : "&amp;TEXT(IFERROR($C46/SUMIFS('Fator R'!$C$13:$C$84,'Fator R'!$B$13:$B$84,$B46),0),"#.##0,00% ;; ""-"" ")</f>
        <v xml:space="preserve"> -  :  - </v>
      </c>
    </row>
    <row r="47" spans="2:4" x14ac:dyDescent="0.3">
      <c r="B47" s="118">
        <f>EDATE(T_DtIni[DATA INICIAL],ROW()-ROW($B$20)-1)</f>
        <v>43525</v>
      </c>
      <c r="C47" s="123"/>
      <c r="D47" s="119" t="str">
        <f>TEXT(IFERROR(SUMIFS('Fator R'!$C$13:$C$84,'Fator R'!$B$13:$B$84,$B47),0),"#.##0,00;; ""-"" ")&amp;" : "&amp;TEXT(IFERROR($C47/SUMIFS('Fator R'!$C$13:$C$84,'Fator R'!$B$13:$B$84,$B47),0),"#.##0,00% ;; ""-"" ")</f>
        <v xml:space="preserve"> -  :  - </v>
      </c>
    </row>
    <row r="48" spans="2:4" x14ac:dyDescent="0.3">
      <c r="B48" s="118">
        <f>EDATE(T_DtIni[DATA INICIAL],ROW()-ROW($B$20)-1)</f>
        <v>43556</v>
      </c>
      <c r="C48" s="123"/>
      <c r="D48" s="119" t="str">
        <f>TEXT(IFERROR(SUMIFS('Fator R'!$C$13:$C$84,'Fator R'!$B$13:$B$84,$B48),0),"#.##0,00;; ""-"" ")&amp;" : "&amp;TEXT(IFERROR($C48/SUMIFS('Fator R'!$C$13:$C$84,'Fator R'!$B$13:$B$84,$B48),0),"#.##0,00% ;; ""-"" ")</f>
        <v xml:space="preserve"> -  :  - </v>
      </c>
    </row>
    <row r="49" spans="2:4" x14ac:dyDescent="0.3">
      <c r="B49" s="118">
        <f>EDATE(T_DtIni[DATA INICIAL],ROW()-ROW($B$20)-1)</f>
        <v>43586</v>
      </c>
      <c r="C49" s="123"/>
      <c r="D49" s="119" t="str">
        <f>TEXT(IFERROR(SUMIFS('Fator R'!$C$13:$C$84,'Fator R'!$B$13:$B$84,$B49),0),"#.##0,00;; ""-"" ")&amp;" : "&amp;TEXT(IFERROR($C49/SUMIFS('Fator R'!$C$13:$C$84,'Fator R'!$B$13:$B$84,$B49),0),"#.##0,00% ;; ""-"" ")</f>
        <v xml:space="preserve"> -  :  - </v>
      </c>
    </row>
    <row r="50" spans="2:4" x14ac:dyDescent="0.3">
      <c r="B50" s="118">
        <f>EDATE(T_DtIni[DATA INICIAL],ROW()-ROW($B$20)-1)</f>
        <v>43617</v>
      </c>
      <c r="C50" s="123"/>
      <c r="D50" s="119" t="str">
        <f>TEXT(IFERROR(SUMIFS('Fator R'!$C$13:$C$84,'Fator R'!$B$13:$B$84,$B50),0),"#.##0,00;; ""-"" ")&amp;" : "&amp;TEXT(IFERROR($C50/SUMIFS('Fator R'!$C$13:$C$84,'Fator R'!$B$13:$B$84,$B50),0),"#.##0,00% ;; ""-"" ")</f>
        <v xml:space="preserve"> -  :  - </v>
      </c>
    </row>
    <row r="51" spans="2:4" x14ac:dyDescent="0.3">
      <c r="B51" s="118">
        <f>EDATE(T_DtIni[DATA INICIAL],ROW()-ROW($B$20)-1)</f>
        <v>43647</v>
      </c>
      <c r="C51" s="123"/>
      <c r="D51" s="119" t="str">
        <f>TEXT(IFERROR(SUMIFS('Fator R'!$C$13:$C$84,'Fator R'!$B$13:$B$84,$B51),0),"#.##0,00;; ""-"" ")&amp;" : "&amp;TEXT(IFERROR($C51/SUMIFS('Fator R'!$C$13:$C$84,'Fator R'!$B$13:$B$84,$B51),0),"#.##0,00% ;; ""-"" ")</f>
        <v xml:space="preserve"> -  :  - </v>
      </c>
    </row>
    <row r="52" spans="2:4" x14ac:dyDescent="0.3">
      <c r="B52" s="118">
        <f>EDATE(T_DtIni[DATA INICIAL],ROW()-ROW($B$20)-1)</f>
        <v>43678</v>
      </c>
      <c r="C52" s="123"/>
      <c r="D52" s="119" t="str">
        <f>TEXT(IFERROR(SUMIFS('Fator R'!$C$13:$C$84,'Fator R'!$B$13:$B$84,$B52),0),"#.##0,00;; ""-"" ")&amp;" : "&amp;TEXT(IFERROR($C52/SUMIFS('Fator R'!$C$13:$C$84,'Fator R'!$B$13:$B$84,$B52),0),"#.##0,00% ;; ""-"" ")</f>
        <v xml:space="preserve"> -  :  - </v>
      </c>
    </row>
    <row r="53" spans="2:4" x14ac:dyDescent="0.3">
      <c r="B53" s="118">
        <f>EDATE(T_DtIni[DATA INICIAL],ROW()-ROW($B$20)-1)</f>
        <v>43709</v>
      </c>
      <c r="C53" s="123"/>
      <c r="D53" s="119" t="str">
        <f>TEXT(IFERROR(SUMIFS('Fator R'!$C$13:$C$84,'Fator R'!$B$13:$B$84,$B53),0),"#.##0,00;; ""-"" ")&amp;" : "&amp;TEXT(IFERROR($C53/SUMIFS('Fator R'!$C$13:$C$84,'Fator R'!$B$13:$B$84,$B53),0),"#.##0,00% ;; ""-"" ")</f>
        <v xml:space="preserve"> -  :  - </v>
      </c>
    </row>
    <row r="54" spans="2:4" x14ac:dyDescent="0.3">
      <c r="B54" s="118">
        <f>EDATE(T_DtIni[DATA INICIAL],ROW()-ROW($B$20)-1)</f>
        <v>43739</v>
      </c>
      <c r="C54" s="123"/>
      <c r="D54" s="119" t="str">
        <f>TEXT(IFERROR(SUMIFS('Fator R'!$C$13:$C$84,'Fator R'!$B$13:$B$84,$B54),0),"#.##0,00;; ""-"" ")&amp;" : "&amp;TEXT(IFERROR($C54/SUMIFS('Fator R'!$C$13:$C$84,'Fator R'!$B$13:$B$84,$B54),0),"#.##0,00% ;; ""-"" ")</f>
        <v xml:space="preserve"> -  :  - </v>
      </c>
    </row>
    <row r="55" spans="2:4" x14ac:dyDescent="0.3">
      <c r="B55" s="118">
        <f>EDATE(T_DtIni[DATA INICIAL],ROW()-ROW($B$20)-1)</f>
        <v>43770</v>
      </c>
      <c r="C55" s="123"/>
      <c r="D55" s="119" t="str">
        <f>TEXT(IFERROR(SUMIFS('Fator R'!$C$13:$C$84,'Fator R'!$B$13:$B$84,$B55),0),"#.##0,00;; ""-"" ")&amp;" : "&amp;TEXT(IFERROR($C55/SUMIFS('Fator R'!$C$13:$C$84,'Fator R'!$B$13:$B$84,$B55),0),"#.##0,00% ;; ""-"" ")</f>
        <v xml:space="preserve"> -  :  - </v>
      </c>
    </row>
    <row r="56" spans="2:4" x14ac:dyDescent="0.3">
      <c r="B56" s="118">
        <f>EDATE(T_DtIni[DATA INICIAL],ROW()-ROW($B$20)-1)</f>
        <v>43800</v>
      </c>
      <c r="C56" s="123"/>
      <c r="D56" s="119" t="str">
        <f>TEXT(IFERROR(SUMIFS('Fator R'!$C$13:$C$84,'Fator R'!$B$13:$B$84,$B56),0),"#.##0,00;; ""-"" ")&amp;" : "&amp;TEXT(IFERROR($C56/SUMIFS('Fator R'!$C$13:$C$84,'Fator R'!$B$13:$B$84,$B56),0),"#.##0,00% ;; ""-"" ")</f>
        <v xml:space="preserve"> -  :  - </v>
      </c>
    </row>
    <row r="57" spans="2:4" x14ac:dyDescent="0.3">
      <c r="B57" s="118">
        <f>EDATE(T_DtIni[DATA INICIAL],ROW()-ROW($B$20)-1)</f>
        <v>43831</v>
      </c>
      <c r="C57" s="123"/>
      <c r="D57" s="119" t="str">
        <f>TEXT(IFERROR(SUMIFS('Fator R'!$C$13:$C$84,'Fator R'!$B$13:$B$84,$B57),0),"#.##0,00;; ""-"" ")&amp;" : "&amp;TEXT(IFERROR($C57/SUMIFS('Fator R'!$C$13:$C$84,'Fator R'!$B$13:$B$84,$B57),0),"#.##0,00% ;; ""-"" ")</f>
        <v xml:space="preserve"> -  :  - </v>
      </c>
    </row>
    <row r="58" spans="2:4" x14ac:dyDescent="0.3">
      <c r="B58" s="118">
        <f>EDATE(T_DtIni[DATA INICIAL],ROW()-ROW($B$20)-1)</f>
        <v>43862</v>
      </c>
      <c r="C58" s="123"/>
      <c r="D58" s="119" t="str">
        <f>TEXT(IFERROR(SUMIFS('Fator R'!$C$13:$C$84,'Fator R'!$B$13:$B$84,$B58),0),"#.##0,00;; ""-"" ")&amp;" : "&amp;TEXT(IFERROR($C58/SUMIFS('Fator R'!$C$13:$C$84,'Fator R'!$B$13:$B$84,$B58),0),"#.##0,00% ;; ""-"" ")</f>
        <v xml:space="preserve"> -  :  - </v>
      </c>
    </row>
    <row r="59" spans="2:4" x14ac:dyDescent="0.3">
      <c r="B59" s="118">
        <f>EDATE(T_DtIni[DATA INICIAL],ROW()-ROW($B$20)-1)</f>
        <v>43891</v>
      </c>
      <c r="C59" s="123"/>
      <c r="D59" s="119" t="str">
        <f>TEXT(IFERROR(SUMIFS('Fator R'!$C$13:$C$84,'Fator R'!$B$13:$B$84,$B59),0),"#.##0,00;; ""-"" ")&amp;" : "&amp;TEXT(IFERROR($C59/SUMIFS('Fator R'!$C$13:$C$84,'Fator R'!$B$13:$B$84,$B59),0),"#.##0,00% ;; ""-"" ")</f>
        <v xml:space="preserve"> -  :  - </v>
      </c>
    </row>
    <row r="60" spans="2:4" x14ac:dyDescent="0.3">
      <c r="B60" s="118">
        <f>EDATE(T_DtIni[DATA INICIAL],ROW()-ROW($B$20)-1)</f>
        <v>43922</v>
      </c>
      <c r="C60" s="123"/>
      <c r="D60" s="119" t="str">
        <f>TEXT(IFERROR(SUMIFS('Fator R'!$C$13:$C$84,'Fator R'!$B$13:$B$84,$B60),0),"#.##0,00;; ""-"" ")&amp;" : "&amp;TEXT(IFERROR($C60/SUMIFS('Fator R'!$C$13:$C$84,'Fator R'!$B$13:$B$84,$B60),0),"#.##0,00% ;; ""-"" ")</f>
        <v xml:space="preserve"> -  :  - </v>
      </c>
    </row>
    <row r="61" spans="2:4" x14ac:dyDescent="0.3">
      <c r="B61" s="118">
        <f>EDATE(T_DtIni[DATA INICIAL],ROW()-ROW($B$20)-1)</f>
        <v>43952</v>
      </c>
      <c r="C61" s="123"/>
      <c r="D61" s="119" t="str">
        <f>TEXT(IFERROR(SUMIFS('Fator R'!$C$13:$C$84,'Fator R'!$B$13:$B$84,$B61),0),"#.##0,00;; ""-"" ")&amp;" : "&amp;TEXT(IFERROR($C61/SUMIFS('Fator R'!$C$13:$C$84,'Fator R'!$B$13:$B$84,$B61),0),"#.##0,00% ;; ""-"" ")</f>
        <v xml:space="preserve"> -  :  - </v>
      </c>
    </row>
    <row r="62" spans="2:4" x14ac:dyDescent="0.3">
      <c r="B62" s="118">
        <f>EDATE(T_DtIni[DATA INICIAL],ROW()-ROW($B$20)-1)</f>
        <v>43983</v>
      </c>
      <c r="C62" s="123"/>
      <c r="D62" s="119" t="str">
        <f>TEXT(IFERROR(SUMIFS('Fator R'!$C$13:$C$84,'Fator R'!$B$13:$B$84,$B62),0),"#.##0,00;; ""-"" ")&amp;" : "&amp;TEXT(IFERROR($C62/SUMIFS('Fator R'!$C$13:$C$84,'Fator R'!$B$13:$B$84,$B62),0),"#.##0,00% ;; ""-"" ")</f>
        <v xml:space="preserve"> -  :  - </v>
      </c>
    </row>
    <row r="63" spans="2:4" x14ac:dyDescent="0.3">
      <c r="B63" s="118">
        <f>EDATE(T_DtIni[DATA INICIAL],ROW()-ROW($B$20)-1)</f>
        <v>44013</v>
      </c>
      <c r="C63" s="123"/>
      <c r="D63" s="119" t="str">
        <f>TEXT(IFERROR(SUMIFS('Fator R'!$C$13:$C$84,'Fator R'!$B$13:$B$84,$B63),0),"#.##0,00;; ""-"" ")&amp;" : "&amp;TEXT(IFERROR($C63/SUMIFS('Fator R'!$C$13:$C$84,'Fator R'!$B$13:$B$84,$B63),0),"#.##0,00% ;; ""-"" ")</f>
        <v xml:space="preserve"> -  :  - </v>
      </c>
    </row>
    <row r="64" spans="2:4" x14ac:dyDescent="0.3">
      <c r="B64" s="118">
        <f>EDATE(T_DtIni[DATA INICIAL],ROW()-ROW($B$20)-1)</f>
        <v>44044</v>
      </c>
      <c r="C64" s="123"/>
      <c r="D64" s="119" t="str">
        <f>TEXT(IFERROR(SUMIFS('Fator R'!$C$13:$C$84,'Fator R'!$B$13:$B$84,$B64),0),"#.##0,00;; ""-"" ")&amp;" : "&amp;TEXT(IFERROR($C64/SUMIFS('Fator R'!$C$13:$C$84,'Fator R'!$B$13:$B$84,$B64),0),"#.##0,00% ;; ""-"" ")</f>
        <v xml:space="preserve"> -  :  - </v>
      </c>
    </row>
    <row r="65" spans="2:4" x14ac:dyDescent="0.3">
      <c r="B65" s="118">
        <f>EDATE(T_DtIni[DATA INICIAL],ROW()-ROW($B$20)-1)</f>
        <v>44075</v>
      </c>
      <c r="C65" s="123"/>
      <c r="D65" s="119" t="str">
        <f>TEXT(IFERROR(SUMIFS('Fator R'!$C$13:$C$84,'Fator R'!$B$13:$B$84,$B65),0),"#.##0,00;; ""-"" ")&amp;" : "&amp;TEXT(IFERROR($C65/SUMIFS('Fator R'!$C$13:$C$84,'Fator R'!$B$13:$B$84,$B65),0),"#.##0,00% ;; ""-"" ")</f>
        <v xml:space="preserve"> -  :  - </v>
      </c>
    </row>
    <row r="66" spans="2:4" x14ac:dyDescent="0.3">
      <c r="B66" s="118">
        <f>EDATE(T_DtIni[DATA INICIAL],ROW()-ROW($B$20)-1)</f>
        <v>44105</v>
      </c>
      <c r="C66" s="123"/>
      <c r="D66" s="119" t="str">
        <f>TEXT(IFERROR(SUMIFS('Fator R'!$C$13:$C$84,'Fator R'!$B$13:$B$84,$B66),0),"#.##0,00;; ""-"" ")&amp;" : "&amp;TEXT(IFERROR($C66/SUMIFS('Fator R'!$C$13:$C$84,'Fator R'!$B$13:$B$84,$B66),0),"#.##0,00% ;; ""-"" ")</f>
        <v xml:space="preserve"> -  :  - </v>
      </c>
    </row>
    <row r="67" spans="2:4" x14ac:dyDescent="0.3">
      <c r="B67" s="118">
        <f>EDATE(T_DtIni[DATA INICIAL],ROW()-ROW($B$20)-1)</f>
        <v>44136</v>
      </c>
      <c r="C67" s="123"/>
      <c r="D67" s="119" t="str">
        <f>TEXT(IFERROR(SUMIFS('Fator R'!$C$13:$C$84,'Fator R'!$B$13:$B$84,$B67),0),"#.##0,00;; ""-"" ")&amp;" : "&amp;TEXT(IFERROR($C67/SUMIFS('Fator R'!$C$13:$C$84,'Fator R'!$B$13:$B$84,$B67),0),"#.##0,00% ;; ""-"" ")</f>
        <v xml:space="preserve"> -  :  - </v>
      </c>
    </row>
    <row r="68" spans="2:4" x14ac:dyDescent="0.3">
      <c r="B68" s="118">
        <f>EDATE(T_DtIni[DATA INICIAL],ROW()-ROW($B$20)-1)</f>
        <v>44166</v>
      </c>
      <c r="C68" s="123"/>
      <c r="D68" s="119" t="str">
        <f>TEXT(IFERROR(SUMIFS('Fator R'!$C$13:$C$84,'Fator R'!$B$13:$B$84,$B68),0),"#.##0,00;; ""-"" ")&amp;" : "&amp;TEXT(IFERROR($C68/SUMIFS('Fator R'!$C$13:$C$84,'Fator R'!$B$13:$B$84,$B68),0),"#.##0,00% ;; ""-"" ")</f>
        <v xml:space="preserve"> -  :  - </v>
      </c>
    </row>
    <row r="69" spans="2:4" x14ac:dyDescent="0.3">
      <c r="B69" s="118">
        <f>EDATE(T_DtIni[DATA INICIAL],ROW()-ROW($B$20)-1)</f>
        <v>44197</v>
      </c>
      <c r="C69" s="123"/>
      <c r="D69" s="119" t="str">
        <f>TEXT(IFERROR(SUMIFS('Fator R'!$C$13:$C$84,'Fator R'!$B$13:$B$84,$B69),0),"#.##0,00;; ""-"" ")&amp;" : "&amp;TEXT(IFERROR($C69/SUMIFS('Fator R'!$C$13:$C$84,'Fator R'!$B$13:$B$84,$B69),0),"#.##0,00% ;; ""-"" ")</f>
        <v xml:space="preserve"> -  :  - </v>
      </c>
    </row>
    <row r="70" spans="2:4" x14ac:dyDescent="0.3">
      <c r="B70" s="118">
        <f>EDATE(T_DtIni[DATA INICIAL],ROW()-ROW($B$20)-1)</f>
        <v>44228</v>
      </c>
      <c r="C70" s="123"/>
      <c r="D70" s="119" t="str">
        <f>TEXT(IFERROR(SUMIFS('Fator R'!$C$13:$C$84,'Fator R'!$B$13:$B$84,$B70),0),"#.##0,00;; ""-"" ")&amp;" : "&amp;TEXT(IFERROR($C70/SUMIFS('Fator R'!$C$13:$C$84,'Fator R'!$B$13:$B$84,$B70),0),"#.##0,00% ;; ""-"" ")</f>
        <v xml:space="preserve"> -  :  - </v>
      </c>
    </row>
    <row r="71" spans="2:4" x14ac:dyDescent="0.3">
      <c r="B71" s="118">
        <f>EDATE(T_DtIni[DATA INICIAL],ROW()-ROW($B$20)-1)</f>
        <v>44256</v>
      </c>
      <c r="C71" s="123"/>
      <c r="D71" s="119" t="str">
        <f>TEXT(IFERROR(SUMIFS('Fator R'!$C$13:$C$84,'Fator R'!$B$13:$B$84,$B71),0),"#.##0,00;; ""-"" ")&amp;" : "&amp;TEXT(IFERROR($C71/SUMIFS('Fator R'!$C$13:$C$84,'Fator R'!$B$13:$B$84,$B71),0),"#.##0,00% ;; ""-"" ")</f>
        <v xml:space="preserve"> -  :  - </v>
      </c>
    </row>
    <row r="72" spans="2:4" x14ac:dyDescent="0.3">
      <c r="B72" s="118">
        <f>EDATE(T_DtIni[DATA INICIAL],ROW()-ROW($B$20)-1)</f>
        <v>44287</v>
      </c>
      <c r="C72" s="123"/>
      <c r="D72" s="119" t="str">
        <f>TEXT(IFERROR(SUMIFS('Fator R'!$C$13:$C$84,'Fator R'!$B$13:$B$84,$B72),0),"#.##0,00;; ""-"" ")&amp;" : "&amp;TEXT(IFERROR($C72/SUMIFS('Fator R'!$C$13:$C$84,'Fator R'!$B$13:$B$84,$B72),0),"#.##0,00% ;; ""-"" ")</f>
        <v xml:space="preserve"> -  :  - </v>
      </c>
    </row>
    <row r="73" spans="2:4" x14ac:dyDescent="0.3">
      <c r="B73" s="118">
        <f>EDATE(T_DtIni[DATA INICIAL],ROW()-ROW($B$20)-1)</f>
        <v>44317</v>
      </c>
      <c r="C73" s="123"/>
      <c r="D73" s="119" t="str">
        <f>TEXT(IFERROR(SUMIFS('Fator R'!$C$13:$C$84,'Fator R'!$B$13:$B$84,$B73),0),"#.##0,00;; ""-"" ")&amp;" : "&amp;TEXT(IFERROR($C73/SUMIFS('Fator R'!$C$13:$C$84,'Fator R'!$B$13:$B$84,$B73),0),"#.##0,00% ;; ""-"" ")</f>
        <v xml:space="preserve"> -  :  - </v>
      </c>
    </row>
    <row r="74" spans="2:4" x14ac:dyDescent="0.3">
      <c r="B74" s="118">
        <f>EDATE(T_DtIni[DATA INICIAL],ROW()-ROW($B$20)-1)</f>
        <v>44348</v>
      </c>
      <c r="C74" s="123"/>
      <c r="D74" s="119" t="str">
        <f>TEXT(IFERROR(SUMIFS('Fator R'!$C$13:$C$84,'Fator R'!$B$13:$B$84,$B74),0),"#.##0,00;; ""-"" ")&amp;" : "&amp;TEXT(IFERROR($C74/SUMIFS('Fator R'!$C$13:$C$84,'Fator R'!$B$13:$B$84,$B74),0),"#.##0,00% ;; ""-"" ")</f>
        <v xml:space="preserve"> -  :  - </v>
      </c>
    </row>
    <row r="75" spans="2:4" x14ac:dyDescent="0.3">
      <c r="B75" s="118">
        <f>EDATE(T_DtIni[DATA INICIAL],ROW()-ROW($B$20)-1)</f>
        <v>44378</v>
      </c>
      <c r="C75" s="123"/>
      <c r="D75" s="119" t="str">
        <f>TEXT(IFERROR(SUMIFS('Fator R'!$C$13:$C$84,'Fator R'!$B$13:$B$84,$B75),0),"#.##0,00;; ""-"" ")&amp;" : "&amp;TEXT(IFERROR($C75/SUMIFS('Fator R'!$C$13:$C$84,'Fator R'!$B$13:$B$84,$B75),0),"#.##0,00% ;; ""-"" ")</f>
        <v xml:space="preserve"> -  :  - </v>
      </c>
    </row>
    <row r="76" spans="2:4" x14ac:dyDescent="0.3">
      <c r="B76" s="118">
        <f>EDATE(T_DtIni[DATA INICIAL],ROW()-ROW($B$20)-1)</f>
        <v>44409</v>
      </c>
      <c r="C76" s="123"/>
      <c r="D76" s="119" t="str">
        <f>TEXT(IFERROR(SUMIFS('Fator R'!$C$13:$C$84,'Fator R'!$B$13:$B$84,$B76),0),"#.##0,00;; ""-"" ")&amp;" : "&amp;TEXT(IFERROR($C76/SUMIFS('Fator R'!$C$13:$C$84,'Fator R'!$B$13:$B$84,$B76),0),"#.##0,00% ;; ""-"" ")</f>
        <v xml:space="preserve"> -  :  - </v>
      </c>
    </row>
    <row r="77" spans="2:4" x14ac:dyDescent="0.3">
      <c r="B77" s="118">
        <f>EDATE(T_DtIni[DATA INICIAL],ROW()-ROW($B$20)-1)</f>
        <v>44440</v>
      </c>
      <c r="C77" s="123"/>
      <c r="D77" s="119" t="str">
        <f>TEXT(IFERROR(SUMIFS('Fator R'!$C$13:$C$84,'Fator R'!$B$13:$B$84,$B77),0),"#.##0,00;; ""-"" ")&amp;" : "&amp;TEXT(IFERROR($C77/SUMIFS('Fator R'!$C$13:$C$84,'Fator R'!$B$13:$B$84,$B77),0),"#.##0,00% ;; ""-"" ")</f>
        <v xml:space="preserve"> -  :  - </v>
      </c>
    </row>
    <row r="78" spans="2:4" x14ac:dyDescent="0.3">
      <c r="B78" s="118">
        <f>EDATE(T_DtIni[DATA INICIAL],ROW()-ROW($B$20)-1)</f>
        <v>44470</v>
      </c>
      <c r="C78" s="123"/>
      <c r="D78" s="119" t="str">
        <f>TEXT(IFERROR(SUMIFS('Fator R'!$C$13:$C$84,'Fator R'!$B$13:$B$84,$B78),0),"#.##0,00;; ""-"" ")&amp;" : "&amp;TEXT(IFERROR($C78/SUMIFS('Fator R'!$C$13:$C$84,'Fator R'!$B$13:$B$84,$B78),0),"#.##0,00% ;; ""-"" ")</f>
        <v xml:space="preserve"> -  :  - </v>
      </c>
    </row>
    <row r="79" spans="2:4" x14ac:dyDescent="0.3">
      <c r="B79" s="118">
        <f>EDATE(T_DtIni[DATA INICIAL],ROW()-ROW($B$20)-1)</f>
        <v>44501</v>
      </c>
      <c r="C79" s="123"/>
      <c r="D79" s="119" t="str">
        <f>TEXT(IFERROR(SUMIFS('Fator R'!$C$13:$C$84,'Fator R'!$B$13:$B$84,$B79),0),"#.##0,00;; ""-"" ")&amp;" : "&amp;TEXT(IFERROR($C79/SUMIFS('Fator R'!$C$13:$C$84,'Fator R'!$B$13:$B$84,$B79),0),"#.##0,00% ;; ""-"" ")</f>
        <v xml:space="preserve"> -  :  - </v>
      </c>
    </row>
    <row r="80" spans="2:4" x14ac:dyDescent="0.3">
      <c r="B80" s="118">
        <f>EDATE(T_DtIni[DATA INICIAL],ROW()-ROW($B$20)-1)</f>
        <v>44531</v>
      </c>
      <c r="C80" s="123"/>
      <c r="D80" s="119" t="str">
        <f>TEXT(IFERROR(SUMIFS('Fator R'!$C$13:$C$84,'Fator R'!$B$13:$B$84,$B80),0),"#.##0,00;; ""-"" ")&amp;" : "&amp;TEXT(IFERROR($C80/SUMIFS('Fator R'!$C$13:$C$84,'Fator R'!$B$13:$B$84,$B80),0),"#.##0,00% ;; ""-"" ")</f>
        <v xml:space="preserve"> -  :  - </v>
      </c>
    </row>
    <row r="81" spans="2:4" x14ac:dyDescent="0.3">
      <c r="B81" s="118">
        <f>EDATE(T_DtIni[DATA INICIAL],ROW()-ROW($B$20)-1)</f>
        <v>44562</v>
      </c>
      <c r="C81" s="123"/>
      <c r="D81" s="119" t="str">
        <f>TEXT(IFERROR(SUMIFS('Fator R'!$C$13:$C$84,'Fator R'!$B$13:$B$84,$B81),0),"#.##0,00;; ""-"" ")&amp;" : "&amp;TEXT(IFERROR($C81/SUMIFS('Fator R'!$C$13:$C$84,'Fator R'!$B$13:$B$84,$B81),0),"#.##0,00% ;; ""-"" ")</f>
        <v xml:space="preserve"> -  :  - </v>
      </c>
    </row>
    <row r="82" spans="2:4" x14ac:dyDescent="0.3">
      <c r="B82" s="118">
        <f>EDATE(T_DtIni[DATA INICIAL],ROW()-ROW($B$20)-1)</f>
        <v>44593</v>
      </c>
      <c r="C82" s="123"/>
      <c r="D82" s="119" t="str">
        <f>TEXT(IFERROR(SUMIFS('Fator R'!$C$13:$C$84,'Fator R'!$B$13:$B$84,$B82),0),"#.##0,00;; ""-"" ")&amp;" : "&amp;TEXT(IFERROR($C82/SUMIFS('Fator R'!$C$13:$C$84,'Fator R'!$B$13:$B$84,$B82),0),"#.##0,00% ;; ""-"" ")</f>
        <v xml:space="preserve"> -  :  - </v>
      </c>
    </row>
    <row r="83" spans="2:4" x14ac:dyDescent="0.3">
      <c r="B83" s="118">
        <f>EDATE(T_DtIni[DATA INICIAL],ROW()-ROW($B$20)-1)</f>
        <v>44621</v>
      </c>
      <c r="C83" s="123"/>
      <c r="D83" s="119" t="str">
        <f>TEXT(IFERROR(SUMIFS('Fator R'!$C$13:$C$84,'Fator R'!$B$13:$B$84,$B83),0),"#.##0,00;; ""-"" ")&amp;" : "&amp;TEXT(IFERROR($C83/SUMIFS('Fator R'!$C$13:$C$84,'Fator R'!$B$13:$B$84,$B83),0),"#.##0,00% ;; ""-"" ")</f>
        <v xml:space="preserve"> -  :  - </v>
      </c>
    </row>
    <row r="84" spans="2:4" x14ac:dyDescent="0.3">
      <c r="B84" s="118">
        <f>EDATE(T_DtIni[DATA INICIAL],ROW()-ROW($B$20)-1)</f>
        <v>44652</v>
      </c>
      <c r="C84" s="123"/>
      <c r="D84" s="119" t="str">
        <f>TEXT(IFERROR(SUMIFS('Fator R'!$C$13:$C$84,'Fator R'!$B$13:$B$84,$B84),0),"#.##0,00;; ""-"" ")&amp;" : "&amp;TEXT(IFERROR($C84/SUMIFS('Fator R'!$C$13:$C$84,'Fator R'!$B$13:$B$84,$B84),0),"#.##0,00% ;; ""-"" ")</f>
        <v xml:space="preserve"> -  :  - </v>
      </c>
    </row>
    <row r="85" spans="2:4" x14ac:dyDescent="0.3">
      <c r="B85" s="118">
        <f>EDATE(T_DtIni[DATA INICIAL],ROW()-ROW($B$20)-1)</f>
        <v>44682</v>
      </c>
      <c r="C85" s="123"/>
      <c r="D85" s="119" t="str">
        <f>TEXT(IFERROR(SUMIFS('Fator R'!$C$13:$C$84,'Fator R'!$B$13:$B$84,$B85),0),"#.##0,00;; ""-"" ")&amp;" : "&amp;TEXT(IFERROR($C85/SUMIFS('Fator R'!$C$13:$C$84,'Fator R'!$B$13:$B$84,$B85),0),"#.##0,00% ;; ""-"" ")</f>
        <v xml:space="preserve"> -  :  - </v>
      </c>
    </row>
    <row r="86" spans="2:4" x14ac:dyDescent="0.3">
      <c r="B86" s="118">
        <f>EDATE(T_DtIni[DATA INICIAL],ROW()-ROW($B$20)-1)</f>
        <v>44713</v>
      </c>
      <c r="C86" s="123"/>
      <c r="D86" s="119" t="str">
        <f>TEXT(IFERROR(SUMIFS('Fator R'!$C$13:$C$84,'Fator R'!$B$13:$B$84,$B86),0),"#.##0,00;; ""-"" ")&amp;" : "&amp;TEXT(IFERROR($C86/SUMIFS('Fator R'!$C$13:$C$84,'Fator R'!$B$13:$B$84,$B86),0),"#.##0,00% ;; ""-"" ")</f>
        <v xml:space="preserve"> -  :  - </v>
      </c>
    </row>
    <row r="87" spans="2:4" x14ac:dyDescent="0.3">
      <c r="B87" s="118">
        <f>EDATE(T_DtIni[DATA INICIAL],ROW()-ROW($B$20)-1)</f>
        <v>44743</v>
      </c>
      <c r="C87" s="123"/>
      <c r="D87" s="119" t="str">
        <f>TEXT(IFERROR(SUMIFS('Fator R'!$C$13:$C$84,'Fator R'!$B$13:$B$84,$B87),0),"#.##0,00;; ""-"" ")&amp;" : "&amp;TEXT(IFERROR($C87/SUMIFS('Fator R'!$C$13:$C$84,'Fator R'!$B$13:$B$84,$B87),0),"#.##0,00% ;; ""-"" ")</f>
        <v xml:space="preserve"> -  :  - </v>
      </c>
    </row>
    <row r="88" spans="2:4" x14ac:dyDescent="0.3">
      <c r="B88" s="118">
        <f>EDATE(T_DtIni[DATA INICIAL],ROW()-ROW($B$20)-1)</f>
        <v>44774</v>
      </c>
      <c r="C88" s="123"/>
      <c r="D88" s="119" t="str">
        <f>TEXT(IFERROR(SUMIFS('Fator R'!$C$13:$C$84,'Fator R'!$B$13:$B$84,$B88),0),"#.##0,00;; ""-"" ")&amp;" : "&amp;TEXT(IFERROR($C88/SUMIFS('Fator R'!$C$13:$C$84,'Fator R'!$B$13:$B$84,$B88),0),"#.##0,00% ;; ""-"" ")</f>
        <v xml:space="preserve"> -  :  - </v>
      </c>
    </row>
    <row r="89" spans="2:4" x14ac:dyDescent="0.3">
      <c r="B89" s="118">
        <f>EDATE(T_DtIni[DATA INICIAL],ROW()-ROW($B$20)-1)</f>
        <v>44805</v>
      </c>
      <c r="C89" s="123"/>
      <c r="D89" s="119" t="str">
        <f>TEXT(IFERROR(SUMIFS('Fator R'!$C$13:$C$84,'Fator R'!$B$13:$B$84,$B89),0),"#.##0,00;; ""-"" ")&amp;" : "&amp;TEXT(IFERROR($C89/SUMIFS('Fator R'!$C$13:$C$84,'Fator R'!$B$13:$B$84,$B89),0),"#.##0,00% ;; ""-"" ")</f>
        <v xml:space="preserve"> -  :  - </v>
      </c>
    </row>
    <row r="90" spans="2:4" x14ac:dyDescent="0.3">
      <c r="B90" s="118">
        <f>EDATE(T_DtIni[DATA INICIAL],ROW()-ROW($B$20)-1)</f>
        <v>44835</v>
      </c>
      <c r="C90" s="123"/>
      <c r="D90" s="119" t="str">
        <f>TEXT(IFERROR(SUMIFS('Fator R'!$C$13:$C$84,'Fator R'!$B$13:$B$84,$B90),0),"#.##0,00;; ""-"" ")&amp;" : "&amp;TEXT(IFERROR($C90/SUMIFS('Fator R'!$C$13:$C$84,'Fator R'!$B$13:$B$84,$B90),0),"#.##0,00% ;; ""-"" ")</f>
        <v xml:space="preserve"> -  :  - </v>
      </c>
    </row>
    <row r="91" spans="2:4" x14ac:dyDescent="0.3">
      <c r="B91" s="118">
        <f>EDATE(T_DtIni[DATA INICIAL],ROW()-ROW($B$20)-1)</f>
        <v>44866</v>
      </c>
      <c r="C91" s="123"/>
      <c r="D91" s="119" t="str">
        <f>TEXT(IFERROR(SUMIFS('Fator R'!$C$13:$C$84,'Fator R'!$B$13:$B$84,$B91),0),"#.##0,00;; ""-"" ")&amp;" : "&amp;TEXT(IFERROR($C91/SUMIFS('Fator R'!$C$13:$C$84,'Fator R'!$B$13:$B$84,$B91),0),"#.##0,00% ;; ""-"" ")</f>
        <v xml:space="preserve"> -  :  - </v>
      </c>
    </row>
    <row r="92" spans="2:4" ht="15" thickBot="1" x14ac:dyDescent="0.35">
      <c r="B92" s="120">
        <f>EDATE(T_DtIni[DATA INICIAL],ROW()-ROW($B$20)-1)</f>
        <v>44896</v>
      </c>
      <c r="C92" s="124"/>
      <c r="D92" s="121" t="str">
        <f>TEXT(IFERROR(SUMIFS('Fator R'!$C$13:$C$84,'Fator R'!$B$13:$B$84,$B92),0),"#.##0,00;; ""-"" ")&amp;" : "&amp;TEXT(IFERROR($C92/SUMIFS('Fator R'!$C$13:$C$84,'Fator R'!$B$13:$B$84,$B92),0),"#.##0,00% ;; ""-"" ")</f>
        <v xml:space="preserve"> -  :  - </v>
      </c>
    </row>
  </sheetData>
  <sheetProtection algorithmName="SHA-512" hashValue="//TV2+/VZ6FE7dQxwqlmEOpB3yvv9vnsDzVhCi1ciMYDDC6fcXkae+SjNoaWODO+4c7OTdQmMwnRQ5BAeeC3Vw==" saltValue="hhZeWcr+boFHQQVPizrMyw==" spinCount="100000" sheet="1" objects="1" scenarios="1"/>
  <mergeCells count="5">
    <mergeCell ref="B3:N3"/>
    <mergeCell ref="C7:D7"/>
    <mergeCell ref="C8:D9"/>
    <mergeCell ref="B19:D19"/>
    <mergeCell ref="B5:N5"/>
  </mergeCells>
  <conditionalFormatting sqref="B5:O5">
    <cfRule type="cellIs" dxfId="245" priority="10" operator="notEqual">
      <formula>""</formula>
    </cfRule>
  </conditionalFormatting>
  <conditionalFormatting sqref="O8:O9 H8">
    <cfRule type="expression" dxfId="244" priority="9">
      <formula>OR(AND(INDIRECT("T_IseICMS[ISENÇÃO ICMS]")=1,$C$8&lt;=360000),INDIRECT("T_Sublimite"))</formula>
    </cfRule>
  </conditionalFormatting>
  <conditionalFormatting sqref="B21:B92 D21:D92">
    <cfRule type="expression" dxfId="243" priority="1">
      <formula>$B21=INDIRECT("T_DtRef")</formula>
    </cfRule>
  </conditionalFormatting>
  <conditionalFormatting sqref="C21:D92">
    <cfRule type="expression" dxfId="242" priority="2">
      <formula>$B21=EDATE(INDIRECT("T_DtRef"),-INDIRECT("T_QtdeMeses"))</formula>
    </cfRule>
    <cfRule type="expression" dxfId="241" priority="3">
      <formula>AND($B21&lt;EDATE(INDIRECT("T_DtRef"),-1),$B21&gt;EDATE(INDIRECT("T_DtRef"),-INDIRECT("T_QtdeMeses")))</formula>
    </cfRule>
    <cfRule type="expression" dxfId="240" priority="4">
      <formula>$B21=EDATE(INDIRECT("T_DtRef"),-1)</formula>
    </cfRule>
  </conditionalFormatting>
  <pageMargins left="0.51181102362204722" right="0.51181102362204722" top="0.78740157480314965" bottom="0.78740157480314965" header="0.31496062992125984" footer="0.31496062992125984"/>
  <pageSetup paperSize="9" scale="5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Mês Referência">
              <controlPr defaultSize="0" autoLine="0" autoPict="0">
                <anchor>
                  <from>
                    <xdr:col>1</xdr:col>
                    <xdr:colOff>68580</xdr:colOff>
                    <xdr:row>7</xdr:row>
                    <xdr:rowOff>160020</xdr:rowOff>
                  </from>
                  <to>
                    <xdr:col>1</xdr:col>
                    <xdr:colOff>693420</xdr:colOff>
                    <xdr:row>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5" name="Drop Down 6">
              <controlPr defaultSize="0" autoLine="0" autoPict="0">
                <anchor moveWithCells="1">
                  <from>
                    <xdr:col>15</xdr:col>
                    <xdr:colOff>495300</xdr:colOff>
                    <xdr:row>6</xdr:row>
                    <xdr:rowOff>373380</xdr:rowOff>
                  </from>
                  <to>
                    <xdr:col>15</xdr:col>
                    <xdr:colOff>1386840</xdr:colOff>
                    <xdr:row>7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tableParts count="6"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9423C261-9A24-402F-A2D3-68F629AB30DC}">
            <xm:f>INDIRECT("T_FaixaA2[[#Esta Linha];[FAIXA]]")=SUPORTE!$Q$6</xm:f>
            <x14:dxf>
              <font>
                <b/>
                <i val="0"/>
              </font>
              <fill>
                <patternFill>
                  <bgColor theme="4" tint="0.79998168889431442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</border>
            </x14:dxf>
          </x14:cfRule>
          <xm:sqref>B12:D17 F12:O17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08519-DB77-43B6-A8A4-D28C9CD00C9F}">
  <sheetPr codeName="Planilha5">
    <tabColor rgb="FF62A9C6"/>
  </sheetPr>
  <dimension ref="B1:AB92"/>
  <sheetViews>
    <sheetView showGridLines="0" showRowColHeaders="0" zoomScale="85" zoomScaleNormal="85" workbookViewId="0">
      <selection activeCell="C21" sqref="C21"/>
    </sheetView>
  </sheetViews>
  <sheetFormatPr defaultColWidth="9.109375" defaultRowHeight="14.4" x14ac:dyDescent="0.3"/>
  <cols>
    <col min="1" max="1" width="5.6640625" style="27" customWidth="1"/>
    <col min="2" max="2" width="12" style="27" customWidth="1"/>
    <col min="3" max="3" width="15" style="27" bestFit="1" customWidth="1"/>
    <col min="4" max="4" width="21.109375" style="27" customWidth="1"/>
    <col min="5" max="5" width="5.5546875" style="27" customWidth="1"/>
    <col min="6" max="6" width="6.33203125" style="27" customWidth="1"/>
    <col min="7" max="7" width="19.6640625" style="27" customWidth="1"/>
    <col min="8" max="8" width="17.44140625" style="27" customWidth="1"/>
    <col min="9" max="14" width="15.33203125" style="27" customWidth="1"/>
    <col min="15" max="15" width="28.5546875" style="27" customWidth="1"/>
    <col min="16" max="16" width="10.109375" style="27" bestFit="1" customWidth="1"/>
    <col min="17" max="17" width="11.6640625" style="27" hidden="1" customWidth="1"/>
    <col min="18" max="18" width="12.6640625" style="27" hidden="1" customWidth="1"/>
    <col min="19" max="20" width="9.109375" style="27" hidden="1" customWidth="1"/>
    <col min="21" max="21" width="9.6640625" style="27" hidden="1" customWidth="1"/>
    <col min="22" max="26" width="9.109375" style="27" hidden="1" customWidth="1"/>
    <col min="27" max="27" width="12.5546875" style="27" hidden="1" customWidth="1"/>
    <col min="28" max="28" width="29.33203125" style="27" hidden="1" customWidth="1"/>
    <col min="29" max="16384" width="9.109375" style="27"/>
  </cols>
  <sheetData>
    <row r="1" spans="2:28" s="26" customFormat="1" ht="40.5" customHeight="1" thickBot="1" x14ac:dyDescent="0.55000000000000004">
      <c r="B1" s="33" t="s">
        <v>45</v>
      </c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Q1" s="86" t="s">
        <v>71</v>
      </c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</row>
    <row r="2" spans="2:28" s="26" customFormat="1" ht="5.25" customHeight="1" thickTop="1" x14ac:dyDescent="0.3">
      <c r="B2" s="37"/>
    </row>
    <row r="3" spans="2:28" s="26" customFormat="1" ht="21" customHeight="1" x14ac:dyDescent="0.3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2:28" s="26" customFormat="1" ht="7.5" customHeight="1" x14ac:dyDescent="0.3">
      <c r="B4" s="37"/>
    </row>
    <row r="5" spans="2:28" s="26" customFormat="1" ht="33" customHeight="1" x14ac:dyDescent="0.3">
      <c r="B5" s="146" t="str">
        <f>CONCATENATE(IF(AA8,AB8&amp;" ",""),IF(AA9,AB9&amp;" ",""),IF(AA10,AB10&amp;" ",""),IF(AA11,AB11&amp;" ",""),IF(AA12,AB12&amp;" ",""))</f>
        <v/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67"/>
      <c r="P5" s="68"/>
    </row>
    <row r="6" spans="2:28" s="26" customFormat="1" ht="7.5" customHeight="1" thickBot="1" x14ac:dyDescent="0.35">
      <c r="B6" s="37"/>
    </row>
    <row r="7" spans="2:28" ht="30" customHeight="1" thickBot="1" x14ac:dyDescent="0.35">
      <c r="B7" s="38" t="s">
        <v>22</v>
      </c>
      <c r="C7" s="138" t="s">
        <v>85</v>
      </c>
      <c r="D7" s="139"/>
      <c r="F7" s="39" t="s">
        <v>5</v>
      </c>
      <c r="G7" s="40" t="s">
        <v>64</v>
      </c>
      <c r="H7" s="83" t="s">
        <v>79</v>
      </c>
      <c r="I7" s="31" t="s">
        <v>8</v>
      </c>
      <c r="J7" s="31" t="s">
        <v>9</v>
      </c>
      <c r="K7" s="31" t="s">
        <v>10</v>
      </c>
      <c r="L7" s="31" t="s">
        <v>11</v>
      </c>
      <c r="M7" s="31" t="s">
        <v>89</v>
      </c>
      <c r="N7" s="31" t="s">
        <v>13</v>
      </c>
      <c r="Q7" s="31" t="s">
        <v>8</v>
      </c>
      <c r="R7" s="31" t="s">
        <v>9</v>
      </c>
      <c r="S7" s="31" t="s">
        <v>10</v>
      </c>
      <c r="T7" s="31" t="s">
        <v>11</v>
      </c>
      <c r="U7" s="31" t="s">
        <v>89</v>
      </c>
      <c r="V7" s="31" t="s">
        <v>13</v>
      </c>
      <c r="W7" s="31" t="s">
        <v>27</v>
      </c>
      <c r="Y7" s="27" t="s">
        <v>78</v>
      </c>
      <c r="AA7" s="27" t="s">
        <v>43</v>
      </c>
      <c r="AB7" s="27" t="s">
        <v>42</v>
      </c>
    </row>
    <row r="8" spans="2:28" ht="22.5" customHeight="1" thickBot="1" x14ac:dyDescent="0.35">
      <c r="B8" s="41"/>
      <c r="C8" s="140">
        <f>SUPORTE!$Q$4</f>
        <v>0</v>
      </c>
      <c r="D8" s="141"/>
      <c r="F8" s="42">
        <f>SUPORTE!$Q$6</f>
        <v>1</v>
      </c>
      <c r="G8" s="43">
        <f>IFERROR(SUMIFS('Anexo III - Serviços'!$C$21:$C$92,'Anexo III - Serviços'!$B$21:$B$92,T_DtRef[DATA REFERENCIA]),0)</f>
        <v>0</v>
      </c>
      <c r="H8" s="79">
        <f>T_AliquotaA3[ALÍQUOTA NOMINAL]-IF(OR(T_RetISS[RETENÇÃO ISS]=1,T_Sublimite[LIMITE 3600K]),IF(AND(T_RetISS[RETENÇÃO ISS]=1,T_DtRef[DATA REFERENCIA]=T_DtIni[DATA INICIAL]),$V$13,IF(AND(T_AliquotaA3[ALÍQUOTA NOMINAL]&gt;T_LimiteA3[LIMITE ISS],SUPORTE!$Q$6=5),$V$10,T_A3Suporte[[#This Row],[ISS]])),0)</f>
        <v>0</v>
      </c>
      <c r="I8" s="44">
        <f>IF(AND(T_RetISS[RETENÇÃO ISS]=1,T_DtRef[DATA REFERENCIA]=T_DtIni[DATA INICIAL]),Q13,IF(T_AliquotaA3[ALÍQUOTA NOMINAL]&gt;T_LimiteA3[LIMITE ISS],Q10,Q8))*IF(OR(T_RetISS[RETENÇÃO ISS]=1,T_Sublimite[LIMITE 3600K]),Q12,1)</f>
        <v>0</v>
      </c>
      <c r="J8" s="44">
        <f>IF(AND(T_RetISS[RETENÇÃO ISS]=1,T_DtRef[DATA REFERENCIA]=T_DtIni[DATA INICIAL]),R13,IF(T_AliquotaA3[ALÍQUOTA NOMINAL]&gt;T_LimiteA3[LIMITE ISS],R10,R8))*IF(OR(T_RetISS[RETENÇÃO ISS]=1,T_Sublimite[LIMITE 3600K]),R12,1)</f>
        <v>0</v>
      </c>
      <c r="K8" s="44">
        <f>IF(AND(T_RetISS[RETENÇÃO ISS]=1,T_DtRef[DATA REFERENCIA]=T_DtIni[DATA INICIAL]),S13,IF(T_AliquotaA3[ALÍQUOTA NOMINAL]&gt;T_LimiteA3[LIMITE ISS],S10,S8))*IF(OR(T_RetISS[RETENÇÃO ISS]=1,T_Sublimite[LIMITE 3600K]),S12,1)</f>
        <v>0</v>
      </c>
      <c r="L8" s="44">
        <f>IF(AND(T_RetISS[RETENÇÃO ISS]=1,T_DtRef[DATA REFERENCIA]=T_DtIni[DATA INICIAL]),T13,IF(T_AliquotaA3[ALÍQUOTA NOMINAL]&gt;T_LimiteA3[LIMITE ISS],T10,T8))*IF(OR(T_RetISS[RETENÇÃO ISS]=1,T_Sublimite[LIMITE 3600K]),T12,1)</f>
        <v>0</v>
      </c>
      <c r="M8" s="44">
        <f>IF(AND(T_RetISS[RETENÇÃO ISS]=1,T_DtRef[DATA REFERENCIA]=T_DtIni[DATA INICIAL]),U13,IF(T_AliquotaA3[ALÍQUOTA NOMINAL]&gt;T_LimiteA3[LIMITE ISS],U10,U8))*IF(OR(T_RetISS[RETENÇÃO ISS]=1,T_Sublimite[LIMITE 3600K]),U12,1)</f>
        <v>0</v>
      </c>
      <c r="N8" s="44">
        <f>IF(AND(T_RetISS[RETENÇÃO ISS]=1,T_DtRef[DATA REFERENCIA]=T_DtIni[DATA INICIAL]),V13,IF(T_AliquotaA3[ALÍQUOTA NOMINAL]&gt;T_LimiteA3[LIMITE ISS],V10,V8))*IF(OR(T_RetISS[RETENÇÃO ISS]=1,T_Sublimite[LIMITE 3600K]),V12,1)</f>
        <v>0</v>
      </c>
      <c r="O8" s="26"/>
      <c r="Q8" s="45">
        <f>IFERROR(VLOOKUP(SUPORTE!$Q$6,T_TaxaA3[],MATCH(Q7,T_TaxaA3[#Headers],0),0)*T_AliquotaA3[ALÍQUOTA NOMINAL],0)</f>
        <v>0</v>
      </c>
      <c r="R8" s="45">
        <f>IFERROR(VLOOKUP(SUPORTE!$Q$6,T_TaxaA3[],MATCH(R7,T_TaxaA3[#Headers],0),0)*T_AliquotaA3[ALÍQUOTA NOMINAL],0)</f>
        <v>0</v>
      </c>
      <c r="S8" s="45">
        <f>IFERROR(VLOOKUP(SUPORTE!$Q$6,T_TaxaA3[],MATCH(S7,T_TaxaA3[#Headers],0),0)*T_AliquotaA3[ALÍQUOTA NOMINAL],0)</f>
        <v>0</v>
      </c>
      <c r="T8" s="45">
        <f>IFERROR(VLOOKUP(SUPORTE!$Q$6,T_TaxaA3[],MATCH(T7,T_TaxaA3[#Headers],0),0)*T_AliquotaA3[ALÍQUOTA NOMINAL],0)</f>
        <v>0</v>
      </c>
      <c r="U8" s="45">
        <f>IFERROR(VLOOKUP(SUPORTE!$Q$6,T_TaxaA3[],MATCH(U7,T_TaxaA3[#Headers],0),0)*T_AliquotaA3[ALÍQUOTA NOMINAL],0)</f>
        <v>0</v>
      </c>
      <c r="V8" s="45">
        <f>IFERROR(VLOOKUP(SUPORTE!$Q$6,T_TaxaA3[],MATCH(V7,T_TaxaA3[#Headers],0),0)*T_AliquotaA3[ALÍQUOTA NOMINAL],0)</f>
        <v>0</v>
      </c>
      <c r="W8" s="45">
        <f>SUM(T_A3Suporte[[#This Row],[IRPJ]:[ISS]])</f>
        <v>0</v>
      </c>
      <c r="Y8" s="82">
        <f>IFERROR(($C$8*VLOOKUP(SUPORTE!$Q$6,T_TaxaA3[],MATCH(Y7,T_TaxaA3[#Headers],0),0)-VLOOKUP(SUPORTE!$Q$6,T_TaxaA3[],MATCH("VALOR A DEDUZIR (R$)",T_TaxaA3[#Headers],0),0))/$C$8,0)</f>
        <v>0</v>
      </c>
      <c r="AA8" s="27" t="b">
        <f>T_RetISS[RETENÇÃO ISS]=1</f>
        <v>0</v>
      </c>
      <c r="AB8" s="27" t="s">
        <v>77</v>
      </c>
    </row>
    <row r="9" spans="2:28" ht="22.5" customHeight="1" thickBot="1" x14ac:dyDescent="0.35">
      <c r="B9" s="46"/>
      <c r="C9" s="142"/>
      <c r="D9" s="143"/>
      <c r="F9" s="47" t="s">
        <v>26</v>
      </c>
      <c r="G9" s="48" t="s">
        <v>26</v>
      </c>
      <c r="H9" s="80">
        <f>IFERROR(SUM(T_A3[[#This Row],[IRPJ]:[ISS]]),0)</f>
        <v>0</v>
      </c>
      <c r="I9" s="49">
        <f t="shared" ref="I9:N9" si="0">$G$8*I$8</f>
        <v>0</v>
      </c>
      <c r="J9" s="49">
        <f t="shared" si="0"/>
        <v>0</v>
      </c>
      <c r="K9" s="49">
        <f t="shared" si="0"/>
        <v>0</v>
      </c>
      <c r="L9" s="49">
        <f t="shared" si="0"/>
        <v>0</v>
      </c>
      <c r="M9" s="49">
        <f t="shared" si="0"/>
        <v>0</v>
      </c>
      <c r="N9" s="49">
        <f t="shared" si="0"/>
        <v>0</v>
      </c>
      <c r="O9" s="26"/>
      <c r="Q9" s="45">
        <f>ROUND(Q8,4)</f>
        <v>0</v>
      </c>
      <c r="R9" s="45">
        <f t="shared" ref="R9:V11" si="1">ROUND(R8,4)</f>
        <v>0</v>
      </c>
      <c r="S9" s="45">
        <f t="shared" si="1"/>
        <v>0</v>
      </c>
      <c r="T9" s="45">
        <f t="shared" si="1"/>
        <v>0</v>
      </c>
      <c r="U9" s="45">
        <f t="shared" si="1"/>
        <v>0</v>
      </c>
      <c r="V9" s="45">
        <f t="shared" si="1"/>
        <v>0</v>
      </c>
      <c r="W9" s="45">
        <f>SUM(T_A3Suporte[[#This Row],[IRPJ]:[ISS]])</f>
        <v>0</v>
      </c>
      <c r="AA9" s="27" t="b">
        <f>AND(T_AliquotaA3[ALÍQUOTA NOMINAL]&gt;T_LimiteA3[LIMITE ISS],SUPORTE!$Q$6=5)</f>
        <v>0</v>
      </c>
      <c r="AB9" s="27" t="s">
        <v>88</v>
      </c>
    </row>
    <row r="10" spans="2:28" x14ac:dyDescent="0.3">
      <c r="Q10" s="45">
        <f>VLOOKUP("5*",T_TaxaA3[],MATCH(Q7,T_TaxaA3[#Headers],0),0)*(T_AliquotaA3[ALÍQUOTA NOMINAL]-5%)</f>
        <v>-3.0100000000000001E-3</v>
      </c>
      <c r="R10" s="45">
        <f>VLOOKUP("5*",T_TaxaA3[],MATCH(R7,T_TaxaA3[#Headers],0),0)*(T_AliquotaA3[ALÍQUOTA NOMINAL]-5%)</f>
        <v>-2.6300000000000004E-3</v>
      </c>
      <c r="S10" s="45">
        <f>VLOOKUP("5*",T_TaxaA3[],MATCH(S7,T_TaxaA3[#Headers],0),0)*(T_AliquotaA3[ALÍQUOTA NOMINAL]-5%)</f>
        <v>-9.640000000000001E-3</v>
      </c>
      <c r="T10" s="45">
        <f>VLOOKUP("5*",T_TaxaA3[],MATCH(T7,T_TaxaA3[#Headers],0),0)*(T_AliquotaA3[ALÍQUOTA NOMINAL]-5%)</f>
        <v>-2.0899999999999998E-3</v>
      </c>
      <c r="U10" s="45">
        <f>VLOOKUP("5*",T_TaxaA3[],MATCH(U7,T_TaxaA3[#Headers],0),0)*(T_AliquotaA3[ALÍQUOTA NOMINAL]-5%)</f>
        <v>-3.2629999999999999E-2</v>
      </c>
      <c r="V10" s="45">
        <f>5%</f>
        <v>0.05</v>
      </c>
      <c r="W10" s="45">
        <f>H8</f>
        <v>0</v>
      </c>
      <c r="AA10" s="74" t="b">
        <f>T_Sublimite[LIMITE 3600K]</f>
        <v>0</v>
      </c>
      <c r="AB10" s="27" t="s">
        <v>83</v>
      </c>
    </row>
    <row r="11" spans="2:28" x14ac:dyDescent="0.3">
      <c r="B11" s="50" t="s">
        <v>5</v>
      </c>
      <c r="C11" s="50" t="s">
        <v>6</v>
      </c>
      <c r="D11" s="50" t="s">
        <v>33</v>
      </c>
      <c r="F11" s="71" t="s">
        <v>5</v>
      </c>
      <c r="G11" s="72" t="s">
        <v>32</v>
      </c>
      <c r="H11" s="71" t="s">
        <v>78</v>
      </c>
      <c r="I11" s="71" t="s">
        <v>8</v>
      </c>
      <c r="J11" s="71" t="s">
        <v>9</v>
      </c>
      <c r="K11" s="71" t="s">
        <v>10</v>
      </c>
      <c r="L11" s="71" t="s">
        <v>11</v>
      </c>
      <c r="M11" s="71" t="s">
        <v>89</v>
      </c>
      <c r="N11" s="71" t="s">
        <v>13</v>
      </c>
      <c r="Q11" s="45">
        <f>ROUND(Q10,4)</f>
        <v>-3.0000000000000001E-3</v>
      </c>
      <c r="R11" s="45">
        <f t="shared" si="1"/>
        <v>-2.5999999999999999E-3</v>
      </c>
      <c r="S11" s="45">
        <f t="shared" si="1"/>
        <v>-9.5999999999999992E-3</v>
      </c>
      <c r="T11" s="45">
        <f t="shared" si="1"/>
        <v>-2.0999999999999999E-3</v>
      </c>
      <c r="U11" s="45">
        <f t="shared" si="1"/>
        <v>-3.2599999999999997E-2</v>
      </c>
      <c r="V11" s="45">
        <f t="shared" si="1"/>
        <v>0.05</v>
      </c>
      <c r="W11" s="45">
        <f>SUM(T_A3Suporte[[#This Row],[IRPJ]:[ISS]])</f>
        <v>1.0000000000000286E-4</v>
      </c>
      <c r="AA11" s="74" t="b">
        <f>AND($AA$8,T_DtRef[DATA REFERENCIA]=T_DtIni[DATA INICIAL])</f>
        <v>0</v>
      </c>
      <c r="AB11" s="27" t="s">
        <v>84</v>
      </c>
    </row>
    <row r="12" spans="2:28" x14ac:dyDescent="0.3">
      <c r="B12" s="50">
        <v>1</v>
      </c>
      <c r="C12" s="52">
        <v>0</v>
      </c>
      <c r="D12" s="52">
        <v>180000</v>
      </c>
      <c r="F12" s="50">
        <v>1</v>
      </c>
      <c r="G12" s="53">
        <v>0</v>
      </c>
      <c r="H12" s="54">
        <v>0.06</v>
      </c>
      <c r="I12" s="54">
        <v>0.04</v>
      </c>
      <c r="J12" s="54">
        <v>3.5000000000000003E-2</v>
      </c>
      <c r="K12" s="54">
        <v>0.12820000000000001</v>
      </c>
      <c r="L12" s="54">
        <v>2.7799999999999998E-2</v>
      </c>
      <c r="M12" s="54">
        <v>0.434</v>
      </c>
      <c r="N12" s="54">
        <v>0.33500000000000002</v>
      </c>
      <c r="Q12" s="75">
        <v>1</v>
      </c>
      <c r="R12" s="75">
        <v>1</v>
      </c>
      <c r="S12" s="75">
        <v>1</v>
      </c>
      <c r="T12" s="75">
        <v>1</v>
      </c>
      <c r="U12" s="75">
        <v>1</v>
      </c>
      <c r="V12" s="75">
        <v>0</v>
      </c>
      <c r="W12" s="76">
        <f>SUM(T_A3Suporte[[#This Row],[IRPJ]:[ISS]])</f>
        <v>5</v>
      </c>
    </row>
    <row r="13" spans="2:28" x14ac:dyDescent="0.3">
      <c r="B13" s="50">
        <v>2</v>
      </c>
      <c r="C13" s="52">
        <v>180000.01</v>
      </c>
      <c r="D13" s="52">
        <v>360000</v>
      </c>
      <c r="F13" s="50">
        <v>2</v>
      </c>
      <c r="G13" s="53">
        <v>9360</v>
      </c>
      <c r="H13" s="54">
        <v>0.112</v>
      </c>
      <c r="I13" s="54">
        <v>0.04</v>
      </c>
      <c r="J13" s="54">
        <v>3.5000000000000003E-2</v>
      </c>
      <c r="K13" s="54">
        <v>0.14050000000000001</v>
      </c>
      <c r="L13" s="54">
        <v>3.0499999999999999E-2</v>
      </c>
      <c r="M13" s="54">
        <v>0.434</v>
      </c>
      <c r="N13" s="54">
        <v>0.32</v>
      </c>
      <c r="Q13" s="45">
        <f>IFERROR(Q8/SUM($Q$8:$U$8)*(T_AliquotaA3[ALÍQUOTA NOMINAL]-T_A3Suporte[[#This Row],[ISS]]),0)</f>
        <v>0</v>
      </c>
      <c r="R13" s="45">
        <f>IFERROR(R8/SUM($Q$8:$U$8)*(T_AliquotaA3[ALÍQUOTA NOMINAL]-T_A3Suporte[[#This Row],[ISS]]),0)</f>
        <v>0</v>
      </c>
      <c r="S13" s="45">
        <f>IFERROR(S8/SUM($Q$8:$U$8)*(T_AliquotaA3[ALÍQUOTA NOMINAL]-T_A3Suporte[[#This Row],[ISS]]),0)</f>
        <v>0</v>
      </c>
      <c r="T13" s="45">
        <f>IFERROR(T8/SUM($Q$8:$U$8)*(T_AliquotaA3[ALÍQUOTA NOMINAL]-T_A3Suporte[[#This Row],[ISS]]),0)</f>
        <v>0</v>
      </c>
      <c r="U13" s="45">
        <f>IFERROR(U8/SUM($Q$8:$U$8)*(T_AliquotaA3[ALÍQUOTA NOMINAL]-T_A3Suporte[[#This Row],[ISS]]),0)</f>
        <v>0</v>
      </c>
      <c r="V13" s="45">
        <f>IF(T_AliquotaA3[ALÍQUOTA NOMINAL]=0,0,2%)</f>
        <v>0</v>
      </c>
      <c r="W13" s="45">
        <f>SUM(T_A3Suporte[[#This Row],[IRPJ]:[ISS]])</f>
        <v>0</v>
      </c>
    </row>
    <row r="14" spans="2:28" x14ac:dyDescent="0.3">
      <c r="B14" s="50">
        <v>3</v>
      </c>
      <c r="C14" s="52">
        <v>360000.01</v>
      </c>
      <c r="D14" s="52">
        <v>720000</v>
      </c>
      <c r="F14" s="50">
        <v>3</v>
      </c>
      <c r="G14" s="53">
        <v>17640</v>
      </c>
      <c r="H14" s="54">
        <v>0.13500000000000001</v>
      </c>
      <c r="I14" s="54">
        <v>0.04</v>
      </c>
      <c r="J14" s="54">
        <v>3.5000000000000003E-2</v>
      </c>
      <c r="K14" s="54">
        <v>0.13639999999999999</v>
      </c>
      <c r="L14" s="54">
        <v>2.9600000000000001E-2</v>
      </c>
      <c r="M14" s="54">
        <v>0.434</v>
      </c>
      <c r="N14" s="54">
        <v>0.32500000000000001</v>
      </c>
    </row>
    <row r="15" spans="2:28" x14ac:dyDescent="0.3">
      <c r="B15" s="50">
        <v>4</v>
      </c>
      <c r="C15" s="52">
        <v>720000.01</v>
      </c>
      <c r="D15" s="52">
        <v>1800000</v>
      </c>
      <c r="F15" s="50">
        <v>4</v>
      </c>
      <c r="G15" s="53">
        <v>35640</v>
      </c>
      <c r="H15" s="54">
        <v>0.16</v>
      </c>
      <c r="I15" s="54">
        <v>0.04</v>
      </c>
      <c r="J15" s="54">
        <v>3.5000000000000003E-2</v>
      </c>
      <c r="K15" s="54">
        <v>0.13639999999999999</v>
      </c>
      <c r="L15" s="54">
        <v>2.9600000000000001E-2</v>
      </c>
      <c r="M15" s="54">
        <v>0.434</v>
      </c>
      <c r="N15" s="54">
        <v>0.32500000000000001</v>
      </c>
    </row>
    <row r="16" spans="2:28" x14ac:dyDescent="0.3">
      <c r="B16" s="50">
        <v>5</v>
      </c>
      <c r="C16" s="52">
        <v>1800000.01</v>
      </c>
      <c r="D16" s="52">
        <v>3600000</v>
      </c>
      <c r="F16" s="50">
        <v>5</v>
      </c>
      <c r="G16" s="53">
        <v>125640</v>
      </c>
      <c r="H16" s="54">
        <v>0.21</v>
      </c>
      <c r="I16" s="54">
        <v>0.04</v>
      </c>
      <c r="J16" s="54">
        <v>3.5000000000000003E-2</v>
      </c>
      <c r="K16" s="54">
        <v>0.12820000000000001</v>
      </c>
      <c r="L16" s="54">
        <v>2.7799999999999998E-2</v>
      </c>
      <c r="M16" s="54">
        <v>0.434</v>
      </c>
      <c r="N16" s="54">
        <v>0.33500000000000002</v>
      </c>
    </row>
    <row r="17" spans="2:17" x14ac:dyDescent="0.3">
      <c r="B17" s="50">
        <v>6</v>
      </c>
      <c r="C17" s="52">
        <v>3600000.01</v>
      </c>
      <c r="D17" s="52">
        <v>4800000</v>
      </c>
      <c r="F17" s="50">
        <v>6</v>
      </c>
      <c r="G17" s="53">
        <v>648000</v>
      </c>
      <c r="H17" s="54">
        <v>0.33</v>
      </c>
      <c r="I17" s="54">
        <v>0.35</v>
      </c>
      <c r="J17" s="54">
        <v>0.15</v>
      </c>
      <c r="K17" s="54">
        <v>0.1603</v>
      </c>
      <c r="L17" s="54">
        <v>3.4700000000000002E-2</v>
      </c>
      <c r="M17" s="54">
        <v>0.30499999999999999</v>
      </c>
      <c r="N17" s="55">
        <v>0</v>
      </c>
      <c r="Q17" s="65" t="s">
        <v>39</v>
      </c>
    </row>
    <row r="18" spans="2:17" x14ac:dyDescent="0.3">
      <c r="F18" s="50" t="s">
        <v>40</v>
      </c>
      <c r="G18" s="53">
        <v>125640</v>
      </c>
      <c r="H18" s="54">
        <v>0.21</v>
      </c>
      <c r="I18" s="54">
        <v>6.0199999999999997E-2</v>
      </c>
      <c r="J18" s="54">
        <v>5.2600000000000001E-2</v>
      </c>
      <c r="K18" s="54">
        <v>0.1928</v>
      </c>
      <c r="L18" s="54">
        <v>4.1799999999999997E-2</v>
      </c>
      <c r="M18" s="54">
        <v>0.65259999999999996</v>
      </c>
      <c r="N18" s="66" t="s">
        <v>41</v>
      </c>
      <c r="Q18" s="65">
        <v>0.14925369999999999</v>
      </c>
    </row>
    <row r="19" spans="2:17" ht="36.75" customHeight="1" thickBot="1" x14ac:dyDescent="0.35">
      <c r="B19" s="137" t="s">
        <v>74</v>
      </c>
      <c r="C19" s="137"/>
      <c r="D19" s="137"/>
      <c r="F19" s="50"/>
      <c r="G19" s="64"/>
      <c r="H19" s="51"/>
      <c r="I19" s="51"/>
      <c r="J19" s="51"/>
      <c r="K19" s="51"/>
      <c r="L19" s="51"/>
      <c r="M19" s="51"/>
      <c r="N19" s="51"/>
    </row>
    <row r="20" spans="2:17" ht="15" thickBot="1" x14ac:dyDescent="0.35">
      <c r="B20" s="113" t="s">
        <v>0</v>
      </c>
      <c r="C20" s="114" t="s">
        <v>1</v>
      </c>
      <c r="D20" s="115" t="s">
        <v>37</v>
      </c>
      <c r="F20" s="56"/>
      <c r="G20" s="57"/>
      <c r="H20" s="57"/>
      <c r="I20" s="57"/>
      <c r="J20" s="57"/>
      <c r="K20" s="57"/>
      <c r="L20" s="57"/>
      <c r="M20" s="57"/>
      <c r="N20" s="58"/>
    </row>
    <row r="21" spans="2:17" x14ac:dyDescent="0.3">
      <c r="B21" s="116">
        <f>EDATE(T_DtIni[DATA INICIAL],ROW()-ROW($B$20)-1)</f>
        <v>42736</v>
      </c>
      <c r="C21" s="122"/>
      <c r="D21" s="117" t="str">
        <f>TEXT(IFERROR(SUMIFS('Fator R'!$C$13:$C$84,'Fator R'!$B$13:$B$84,$B21),0),"#.##0,00;; ""-"" ")&amp;" : "&amp;TEXT(IFERROR($C21/SUMIFS('Fator R'!$C$13:$C$84,'Fator R'!$B$13:$B$84,$B21),0),"#.##0,00% ;; ""-"" ")</f>
        <v xml:space="preserve"> -  :  - </v>
      </c>
    </row>
    <row r="22" spans="2:17" x14ac:dyDescent="0.3">
      <c r="B22" s="118">
        <f>EDATE(T_DtIni[DATA INICIAL],ROW()-ROW($B$20)-1)</f>
        <v>42767</v>
      </c>
      <c r="C22" s="123"/>
      <c r="D22" s="119" t="str">
        <f>TEXT(IFERROR(SUMIFS('Fator R'!$C$13:$C$84,'Fator R'!$B$13:$B$84,$B22),0),"#.##0,00;; ""-"" ")&amp;" : "&amp;TEXT(IFERROR($C22/SUMIFS('Fator R'!$C$13:$C$84,'Fator R'!$B$13:$B$84,$B22),0),"#.##0,00% ;; ""-"" ")</f>
        <v xml:space="preserve"> -  :  - </v>
      </c>
    </row>
    <row r="23" spans="2:17" x14ac:dyDescent="0.3">
      <c r="B23" s="118">
        <f>EDATE(T_DtIni[DATA INICIAL],ROW()-ROW($B$20)-1)</f>
        <v>42795</v>
      </c>
      <c r="C23" s="123"/>
      <c r="D23" s="119" t="str">
        <f>TEXT(IFERROR(SUMIFS('Fator R'!$C$13:$C$84,'Fator R'!$B$13:$B$84,$B23),0),"#.##0,00;; ""-"" ")&amp;" : "&amp;TEXT(IFERROR($C23/SUMIFS('Fator R'!$C$13:$C$84,'Fator R'!$B$13:$B$84,$B23),0),"#.##0,00% ;; ""-"" ")</f>
        <v xml:space="preserve"> -  :  - </v>
      </c>
    </row>
    <row r="24" spans="2:17" x14ac:dyDescent="0.3">
      <c r="B24" s="118">
        <f>EDATE(T_DtIni[DATA INICIAL],ROW()-ROW($B$20)-1)</f>
        <v>42826</v>
      </c>
      <c r="C24" s="123"/>
      <c r="D24" s="119" t="str">
        <f>TEXT(IFERROR(SUMIFS('Fator R'!$C$13:$C$84,'Fator R'!$B$13:$B$84,$B24),0),"#.##0,00;; ""-"" ")&amp;" : "&amp;TEXT(IFERROR($C24/SUMIFS('Fator R'!$C$13:$C$84,'Fator R'!$B$13:$B$84,$B24),0),"#.##0,00% ;; ""-"" ")</f>
        <v xml:space="preserve"> -  :  - </v>
      </c>
    </row>
    <row r="25" spans="2:17" x14ac:dyDescent="0.3">
      <c r="B25" s="118">
        <f>EDATE(T_DtIni[DATA INICIAL],ROW()-ROW($B$20)-1)</f>
        <v>42856</v>
      </c>
      <c r="C25" s="123"/>
      <c r="D25" s="119" t="str">
        <f>TEXT(IFERROR(SUMIFS('Fator R'!$C$13:$C$84,'Fator R'!$B$13:$B$84,$B25),0),"#.##0,00;; ""-"" ")&amp;" : "&amp;TEXT(IFERROR($C25/SUMIFS('Fator R'!$C$13:$C$84,'Fator R'!$B$13:$B$84,$B25),0),"#.##0,00% ;; ""-"" ")</f>
        <v xml:space="preserve"> -  :  - </v>
      </c>
    </row>
    <row r="26" spans="2:17" x14ac:dyDescent="0.3">
      <c r="B26" s="118">
        <f>EDATE(T_DtIni[DATA INICIAL],ROW()-ROW($B$20)-1)</f>
        <v>42887</v>
      </c>
      <c r="C26" s="123"/>
      <c r="D26" s="119" t="str">
        <f>TEXT(IFERROR(SUMIFS('Fator R'!$C$13:$C$84,'Fator R'!$B$13:$B$84,$B26),0),"#.##0,00;; ""-"" ")&amp;" : "&amp;TEXT(IFERROR($C26/SUMIFS('Fator R'!$C$13:$C$84,'Fator R'!$B$13:$B$84,$B26),0),"#.##0,00% ;; ""-"" ")</f>
        <v xml:space="preserve"> -  :  - </v>
      </c>
    </row>
    <row r="27" spans="2:17" x14ac:dyDescent="0.3">
      <c r="B27" s="118">
        <f>EDATE(T_DtIni[DATA INICIAL],ROW()-ROW($B$20)-1)</f>
        <v>42917</v>
      </c>
      <c r="C27" s="123"/>
      <c r="D27" s="119" t="str">
        <f>TEXT(IFERROR(SUMIFS('Fator R'!$C$13:$C$84,'Fator R'!$B$13:$B$84,$B27),0),"#.##0,00;; ""-"" ")&amp;" : "&amp;TEXT(IFERROR($C27/SUMIFS('Fator R'!$C$13:$C$84,'Fator R'!$B$13:$B$84,$B27),0),"#.##0,00% ;; ""-"" ")</f>
        <v xml:space="preserve"> -  :  - </v>
      </c>
    </row>
    <row r="28" spans="2:17" x14ac:dyDescent="0.3">
      <c r="B28" s="118">
        <f>EDATE(T_DtIni[DATA INICIAL],ROW()-ROW($B$20)-1)</f>
        <v>42948</v>
      </c>
      <c r="C28" s="123"/>
      <c r="D28" s="119" t="str">
        <f>TEXT(IFERROR(SUMIFS('Fator R'!$C$13:$C$84,'Fator R'!$B$13:$B$84,$B28),0),"#.##0,00;; ""-"" ")&amp;" : "&amp;TEXT(IFERROR($C28/SUMIFS('Fator R'!$C$13:$C$84,'Fator R'!$B$13:$B$84,$B28),0),"#.##0,00% ;; ""-"" ")</f>
        <v xml:space="preserve"> -  :  - </v>
      </c>
    </row>
    <row r="29" spans="2:17" x14ac:dyDescent="0.3">
      <c r="B29" s="118">
        <f>EDATE(T_DtIni[DATA INICIAL],ROW()-ROW($B$20)-1)</f>
        <v>42979</v>
      </c>
      <c r="C29" s="123"/>
      <c r="D29" s="119" t="str">
        <f>TEXT(IFERROR(SUMIFS('Fator R'!$C$13:$C$84,'Fator R'!$B$13:$B$84,$B29),0),"#.##0,00;; ""-"" ")&amp;" : "&amp;TEXT(IFERROR($C29/SUMIFS('Fator R'!$C$13:$C$84,'Fator R'!$B$13:$B$84,$B29),0),"#.##0,00% ;; ""-"" ")</f>
        <v xml:space="preserve"> -  :  - </v>
      </c>
    </row>
    <row r="30" spans="2:17" x14ac:dyDescent="0.3">
      <c r="B30" s="118">
        <f>EDATE(T_DtIni[DATA INICIAL],ROW()-ROW($B$20)-1)</f>
        <v>43009</v>
      </c>
      <c r="C30" s="123"/>
      <c r="D30" s="119" t="str">
        <f>TEXT(IFERROR(SUMIFS('Fator R'!$C$13:$C$84,'Fator R'!$B$13:$B$84,$B30),0),"#.##0,00;; ""-"" ")&amp;" : "&amp;TEXT(IFERROR($C30/SUMIFS('Fator R'!$C$13:$C$84,'Fator R'!$B$13:$B$84,$B30),0),"#.##0,00% ;; ""-"" ")</f>
        <v xml:space="preserve"> -  :  - </v>
      </c>
    </row>
    <row r="31" spans="2:17" x14ac:dyDescent="0.3">
      <c r="B31" s="118">
        <f>EDATE(T_DtIni[DATA INICIAL],ROW()-ROW($B$20)-1)</f>
        <v>43040</v>
      </c>
      <c r="C31" s="123"/>
      <c r="D31" s="119" t="str">
        <f>TEXT(IFERROR(SUMIFS('Fator R'!$C$13:$C$84,'Fator R'!$B$13:$B$84,$B31),0),"#.##0,00;; ""-"" ")&amp;" : "&amp;TEXT(IFERROR($C31/SUMIFS('Fator R'!$C$13:$C$84,'Fator R'!$B$13:$B$84,$B31),0),"#.##0,00% ;; ""-"" ")</f>
        <v xml:space="preserve"> -  :  - </v>
      </c>
    </row>
    <row r="32" spans="2:17" x14ac:dyDescent="0.3">
      <c r="B32" s="118">
        <f>EDATE(T_DtIni[DATA INICIAL],ROW()-ROW($B$20)-1)</f>
        <v>43070</v>
      </c>
      <c r="C32" s="123"/>
      <c r="D32" s="119" t="str">
        <f>TEXT(IFERROR(SUMIFS('Fator R'!$C$13:$C$84,'Fator R'!$B$13:$B$84,$B32),0),"#.##0,00;; ""-"" ")&amp;" : "&amp;TEXT(IFERROR($C32/SUMIFS('Fator R'!$C$13:$C$84,'Fator R'!$B$13:$B$84,$B32),0),"#.##0,00% ;; ""-"" ")</f>
        <v xml:space="preserve"> -  :  - </v>
      </c>
    </row>
    <row r="33" spans="2:4" x14ac:dyDescent="0.3">
      <c r="B33" s="118">
        <f>EDATE(T_DtIni[DATA INICIAL],ROW()-ROW($B$20)-1)</f>
        <v>43101</v>
      </c>
      <c r="C33" s="123"/>
      <c r="D33" s="119" t="str">
        <f>TEXT(IFERROR(SUMIFS('Fator R'!$C$13:$C$84,'Fator R'!$B$13:$B$84,$B33),0),"#.##0,00;; ""-"" ")&amp;" : "&amp;TEXT(IFERROR($C33/SUMIFS('Fator R'!$C$13:$C$84,'Fator R'!$B$13:$B$84,$B33),0),"#.##0,00% ;; ""-"" ")</f>
        <v xml:space="preserve"> -  :  - </v>
      </c>
    </row>
    <row r="34" spans="2:4" x14ac:dyDescent="0.3">
      <c r="B34" s="118">
        <f>EDATE(T_DtIni[DATA INICIAL],ROW()-ROW($B$20)-1)</f>
        <v>43132</v>
      </c>
      <c r="C34" s="123"/>
      <c r="D34" s="119" t="str">
        <f>TEXT(IFERROR(SUMIFS('Fator R'!$C$13:$C$84,'Fator R'!$B$13:$B$84,$B34),0),"#.##0,00;; ""-"" ")&amp;" : "&amp;TEXT(IFERROR($C34/SUMIFS('Fator R'!$C$13:$C$84,'Fator R'!$B$13:$B$84,$B34),0),"#.##0,00% ;; ""-"" ")</f>
        <v xml:space="preserve"> -  :  - </v>
      </c>
    </row>
    <row r="35" spans="2:4" x14ac:dyDescent="0.3">
      <c r="B35" s="118">
        <f>EDATE(T_DtIni[DATA INICIAL],ROW()-ROW($B$20)-1)</f>
        <v>43160</v>
      </c>
      <c r="C35" s="123"/>
      <c r="D35" s="119" t="str">
        <f>TEXT(IFERROR(SUMIFS('Fator R'!$C$13:$C$84,'Fator R'!$B$13:$B$84,$B35),0),"#.##0,00;; ""-"" ")&amp;" : "&amp;TEXT(IFERROR($C35/SUMIFS('Fator R'!$C$13:$C$84,'Fator R'!$B$13:$B$84,$B35),0),"#.##0,00% ;; ""-"" ")</f>
        <v xml:space="preserve"> -  :  - </v>
      </c>
    </row>
    <row r="36" spans="2:4" x14ac:dyDescent="0.3">
      <c r="B36" s="118">
        <f>EDATE(T_DtIni[DATA INICIAL],ROW()-ROW($B$20)-1)</f>
        <v>43191</v>
      </c>
      <c r="C36" s="123"/>
      <c r="D36" s="119" t="str">
        <f>TEXT(IFERROR(SUMIFS('Fator R'!$C$13:$C$84,'Fator R'!$B$13:$B$84,$B36),0),"#.##0,00;; ""-"" ")&amp;" : "&amp;TEXT(IFERROR($C36/SUMIFS('Fator R'!$C$13:$C$84,'Fator R'!$B$13:$B$84,$B36),0),"#.##0,00% ;; ""-"" ")</f>
        <v xml:space="preserve"> -  :  - </v>
      </c>
    </row>
    <row r="37" spans="2:4" x14ac:dyDescent="0.3">
      <c r="B37" s="118">
        <f>EDATE(T_DtIni[DATA INICIAL],ROW()-ROW($B$20)-1)</f>
        <v>43221</v>
      </c>
      <c r="C37" s="123"/>
      <c r="D37" s="119" t="str">
        <f>TEXT(IFERROR(SUMIFS('Fator R'!$C$13:$C$84,'Fator R'!$B$13:$B$84,$B37),0),"#.##0,00;; ""-"" ")&amp;" : "&amp;TEXT(IFERROR($C37/SUMIFS('Fator R'!$C$13:$C$84,'Fator R'!$B$13:$B$84,$B37),0),"#.##0,00% ;; ""-"" ")</f>
        <v xml:space="preserve"> -  :  - </v>
      </c>
    </row>
    <row r="38" spans="2:4" x14ac:dyDescent="0.3">
      <c r="B38" s="118">
        <f>EDATE(T_DtIni[DATA INICIAL],ROW()-ROW($B$20)-1)</f>
        <v>43252</v>
      </c>
      <c r="C38" s="123"/>
      <c r="D38" s="119" t="str">
        <f>TEXT(IFERROR(SUMIFS('Fator R'!$C$13:$C$84,'Fator R'!$B$13:$B$84,$B38),0),"#.##0,00;; ""-"" ")&amp;" : "&amp;TEXT(IFERROR($C38/SUMIFS('Fator R'!$C$13:$C$84,'Fator R'!$B$13:$B$84,$B38),0),"#.##0,00% ;; ""-"" ")</f>
        <v xml:space="preserve"> -  :  - </v>
      </c>
    </row>
    <row r="39" spans="2:4" x14ac:dyDescent="0.3">
      <c r="B39" s="118">
        <f>EDATE(T_DtIni[DATA INICIAL],ROW()-ROW($B$20)-1)</f>
        <v>43282</v>
      </c>
      <c r="C39" s="123"/>
      <c r="D39" s="119" t="str">
        <f>TEXT(IFERROR(SUMIFS('Fator R'!$C$13:$C$84,'Fator R'!$B$13:$B$84,$B39),0),"#.##0,00;; ""-"" ")&amp;" : "&amp;TEXT(IFERROR($C39/SUMIFS('Fator R'!$C$13:$C$84,'Fator R'!$B$13:$B$84,$B39),0),"#.##0,00% ;; ""-"" ")</f>
        <v xml:space="preserve"> -  :  - </v>
      </c>
    </row>
    <row r="40" spans="2:4" x14ac:dyDescent="0.3">
      <c r="B40" s="118">
        <f>EDATE(T_DtIni[DATA INICIAL],ROW()-ROW($B$20)-1)</f>
        <v>43313</v>
      </c>
      <c r="C40" s="123"/>
      <c r="D40" s="119" t="str">
        <f>TEXT(IFERROR(SUMIFS('Fator R'!$C$13:$C$84,'Fator R'!$B$13:$B$84,$B40),0),"#.##0,00;; ""-"" ")&amp;" : "&amp;TEXT(IFERROR($C40/SUMIFS('Fator R'!$C$13:$C$84,'Fator R'!$B$13:$B$84,$B40),0),"#.##0,00% ;; ""-"" ")</f>
        <v xml:space="preserve"> -  :  - </v>
      </c>
    </row>
    <row r="41" spans="2:4" x14ac:dyDescent="0.3">
      <c r="B41" s="118">
        <f>EDATE(T_DtIni[DATA INICIAL],ROW()-ROW($B$20)-1)</f>
        <v>43344</v>
      </c>
      <c r="C41" s="123"/>
      <c r="D41" s="119" t="str">
        <f>TEXT(IFERROR(SUMIFS('Fator R'!$C$13:$C$84,'Fator R'!$B$13:$B$84,$B41),0),"#.##0,00;; ""-"" ")&amp;" : "&amp;TEXT(IFERROR($C41/SUMIFS('Fator R'!$C$13:$C$84,'Fator R'!$B$13:$B$84,$B41),0),"#.##0,00% ;; ""-"" ")</f>
        <v xml:space="preserve"> -  :  - </v>
      </c>
    </row>
    <row r="42" spans="2:4" x14ac:dyDescent="0.3">
      <c r="B42" s="118">
        <f>EDATE(T_DtIni[DATA INICIAL],ROW()-ROW($B$20)-1)</f>
        <v>43374</v>
      </c>
      <c r="C42" s="123"/>
      <c r="D42" s="119" t="str">
        <f>TEXT(IFERROR(SUMIFS('Fator R'!$C$13:$C$84,'Fator R'!$B$13:$B$84,$B42),0),"#.##0,00;; ""-"" ")&amp;" : "&amp;TEXT(IFERROR($C42/SUMIFS('Fator R'!$C$13:$C$84,'Fator R'!$B$13:$B$84,$B42),0),"#.##0,00% ;; ""-"" ")</f>
        <v xml:space="preserve"> -  :  - </v>
      </c>
    </row>
    <row r="43" spans="2:4" x14ac:dyDescent="0.3">
      <c r="B43" s="118">
        <f>EDATE(T_DtIni[DATA INICIAL],ROW()-ROW($B$20)-1)</f>
        <v>43405</v>
      </c>
      <c r="C43" s="123"/>
      <c r="D43" s="119" t="str">
        <f>TEXT(IFERROR(SUMIFS('Fator R'!$C$13:$C$84,'Fator R'!$B$13:$B$84,$B43),0),"#.##0,00;; ""-"" ")&amp;" : "&amp;TEXT(IFERROR($C43/SUMIFS('Fator R'!$C$13:$C$84,'Fator R'!$B$13:$B$84,$B43),0),"#.##0,00% ;; ""-"" ")</f>
        <v xml:space="preserve"> -  :  - </v>
      </c>
    </row>
    <row r="44" spans="2:4" x14ac:dyDescent="0.3">
      <c r="B44" s="118">
        <f>EDATE(T_DtIni[DATA INICIAL],ROW()-ROW($B$20)-1)</f>
        <v>43435</v>
      </c>
      <c r="C44" s="123"/>
      <c r="D44" s="119" t="str">
        <f>TEXT(IFERROR(SUMIFS('Fator R'!$C$13:$C$84,'Fator R'!$B$13:$B$84,$B44),0),"#.##0,00;; ""-"" ")&amp;" : "&amp;TEXT(IFERROR($C44/SUMIFS('Fator R'!$C$13:$C$84,'Fator R'!$B$13:$B$84,$B44),0),"#.##0,00% ;; ""-"" ")</f>
        <v xml:space="preserve"> -  :  - </v>
      </c>
    </row>
    <row r="45" spans="2:4" x14ac:dyDescent="0.3">
      <c r="B45" s="118">
        <f>EDATE(T_DtIni[DATA INICIAL],ROW()-ROW($B$20)-1)</f>
        <v>43466</v>
      </c>
      <c r="C45" s="123"/>
      <c r="D45" s="119" t="str">
        <f>TEXT(IFERROR(SUMIFS('Fator R'!$C$13:$C$84,'Fator R'!$B$13:$B$84,$B45),0),"#.##0,00;; ""-"" ")&amp;" : "&amp;TEXT(IFERROR($C45/SUMIFS('Fator R'!$C$13:$C$84,'Fator R'!$B$13:$B$84,$B45),0),"#.##0,00% ;; ""-"" ")</f>
        <v xml:space="preserve"> -  :  - </v>
      </c>
    </row>
    <row r="46" spans="2:4" x14ac:dyDescent="0.3">
      <c r="B46" s="118">
        <f>EDATE(T_DtIni[DATA INICIAL],ROW()-ROW($B$20)-1)</f>
        <v>43497</v>
      </c>
      <c r="C46" s="123"/>
      <c r="D46" s="119" t="str">
        <f>TEXT(IFERROR(SUMIFS('Fator R'!$C$13:$C$84,'Fator R'!$B$13:$B$84,$B46),0),"#.##0,00;; ""-"" ")&amp;" : "&amp;TEXT(IFERROR($C46/SUMIFS('Fator R'!$C$13:$C$84,'Fator R'!$B$13:$B$84,$B46),0),"#.##0,00% ;; ""-"" ")</f>
        <v xml:space="preserve"> -  :  - </v>
      </c>
    </row>
    <row r="47" spans="2:4" x14ac:dyDescent="0.3">
      <c r="B47" s="118">
        <f>EDATE(T_DtIni[DATA INICIAL],ROW()-ROW($B$20)-1)</f>
        <v>43525</v>
      </c>
      <c r="C47" s="123"/>
      <c r="D47" s="119" t="str">
        <f>TEXT(IFERROR(SUMIFS('Fator R'!$C$13:$C$84,'Fator R'!$B$13:$B$84,$B47),0),"#.##0,00;; ""-"" ")&amp;" : "&amp;TEXT(IFERROR($C47/SUMIFS('Fator R'!$C$13:$C$84,'Fator R'!$B$13:$B$84,$B47),0),"#.##0,00% ;; ""-"" ")</f>
        <v xml:space="preserve"> -  :  - </v>
      </c>
    </row>
    <row r="48" spans="2:4" x14ac:dyDescent="0.3">
      <c r="B48" s="118">
        <f>EDATE(T_DtIni[DATA INICIAL],ROW()-ROW($B$20)-1)</f>
        <v>43556</v>
      </c>
      <c r="C48" s="123"/>
      <c r="D48" s="119" t="str">
        <f>TEXT(IFERROR(SUMIFS('Fator R'!$C$13:$C$84,'Fator R'!$B$13:$B$84,$B48),0),"#.##0,00;; ""-"" ")&amp;" : "&amp;TEXT(IFERROR($C48/SUMIFS('Fator R'!$C$13:$C$84,'Fator R'!$B$13:$B$84,$B48),0),"#.##0,00% ;; ""-"" ")</f>
        <v xml:space="preserve"> -  :  - </v>
      </c>
    </row>
    <row r="49" spans="2:4" x14ac:dyDescent="0.3">
      <c r="B49" s="118">
        <f>EDATE(T_DtIni[DATA INICIAL],ROW()-ROW($B$20)-1)</f>
        <v>43586</v>
      </c>
      <c r="C49" s="123"/>
      <c r="D49" s="119" t="str">
        <f>TEXT(IFERROR(SUMIFS('Fator R'!$C$13:$C$84,'Fator R'!$B$13:$B$84,$B49),0),"#.##0,00;; ""-"" ")&amp;" : "&amp;TEXT(IFERROR($C49/SUMIFS('Fator R'!$C$13:$C$84,'Fator R'!$B$13:$B$84,$B49),0),"#.##0,00% ;; ""-"" ")</f>
        <v xml:space="preserve"> -  :  - </v>
      </c>
    </row>
    <row r="50" spans="2:4" x14ac:dyDescent="0.3">
      <c r="B50" s="118">
        <f>EDATE(T_DtIni[DATA INICIAL],ROW()-ROW($B$20)-1)</f>
        <v>43617</v>
      </c>
      <c r="C50" s="123"/>
      <c r="D50" s="119" t="str">
        <f>TEXT(IFERROR(SUMIFS('Fator R'!$C$13:$C$84,'Fator R'!$B$13:$B$84,$B50),0),"#.##0,00;; ""-"" ")&amp;" : "&amp;TEXT(IFERROR($C50/SUMIFS('Fator R'!$C$13:$C$84,'Fator R'!$B$13:$B$84,$B50),0),"#.##0,00% ;; ""-"" ")</f>
        <v xml:space="preserve"> -  :  - </v>
      </c>
    </row>
    <row r="51" spans="2:4" x14ac:dyDescent="0.3">
      <c r="B51" s="118">
        <f>EDATE(T_DtIni[DATA INICIAL],ROW()-ROW($B$20)-1)</f>
        <v>43647</v>
      </c>
      <c r="C51" s="123"/>
      <c r="D51" s="119" t="str">
        <f>TEXT(IFERROR(SUMIFS('Fator R'!$C$13:$C$84,'Fator R'!$B$13:$B$84,$B51),0),"#.##0,00;; ""-"" ")&amp;" : "&amp;TEXT(IFERROR($C51/SUMIFS('Fator R'!$C$13:$C$84,'Fator R'!$B$13:$B$84,$B51),0),"#.##0,00% ;; ""-"" ")</f>
        <v xml:space="preserve"> -  :  - </v>
      </c>
    </row>
    <row r="52" spans="2:4" x14ac:dyDescent="0.3">
      <c r="B52" s="118">
        <f>EDATE(T_DtIni[DATA INICIAL],ROW()-ROW($B$20)-1)</f>
        <v>43678</v>
      </c>
      <c r="C52" s="123"/>
      <c r="D52" s="119" t="str">
        <f>TEXT(IFERROR(SUMIFS('Fator R'!$C$13:$C$84,'Fator R'!$B$13:$B$84,$B52),0),"#.##0,00;; ""-"" ")&amp;" : "&amp;TEXT(IFERROR($C52/SUMIFS('Fator R'!$C$13:$C$84,'Fator R'!$B$13:$B$84,$B52),0),"#.##0,00% ;; ""-"" ")</f>
        <v xml:space="preserve"> -  :  - </v>
      </c>
    </row>
    <row r="53" spans="2:4" x14ac:dyDescent="0.3">
      <c r="B53" s="118">
        <f>EDATE(T_DtIni[DATA INICIAL],ROW()-ROW($B$20)-1)</f>
        <v>43709</v>
      </c>
      <c r="C53" s="123"/>
      <c r="D53" s="119" t="str">
        <f>TEXT(IFERROR(SUMIFS('Fator R'!$C$13:$C$84,'Fator R'!$B$13:$B$84,$B53),0),"#.##0,00;; ""-"" ")&amp;" : "&amp;TEXT(IFERROR($C53/SUMIFS('Fator R'!$C$13:$C$84,'Fator R'!$B$13:$B$84,$B53),0),"#.##0,00% ;; ""-"" ")</f>
        <v xml:space="preserve"> -  :  - </v>
      </c>
    </row>
    <row r="54" spans="2:4" x14ac:dyDescent="0.3">
      <c r="B54" s="118">
        <f>EDATE(T_DtIni[DATA INICIAL],ROW()-ROW($B$20)-1)</f>
        <v>43739</v>
      </c>
      <c r="C54" s="123"/>
      <c r="D54" s="119" t="str">
        <f>TEXT(IFERROR(SUMIFS('Fator R'!$C$13:$C$84,'Fator R'!$B$13:$B$84,$B54),0),"#.##0,00;; ""-"" ")&amp;" : "&amp;TEXT(IFERROR($C54/SUMIFS('Fator R'!$C$13:$C$84,'Fator R'!$B$13:$B$84,$B54),0),"#.##0,00% ;; ""-"" ")</f>
        <v xml:space="preserve"> -  :  - </v>
      </c>
    </row>
    <row r="55" spans="2:4" x14ac:dyDescent="0.3">
      <c r="B55" s="118">
        <f>EDATE(T_DtIni[DATA INICIAL],ROW()-ROW($B$20)-1)</f>
        <v>43770</v>
      </c>
      <c r="C55" s="123"/>
      <c r="D55" s="119" t="str">
        <f>TEXT(IFERROR(SUMIFS('Fator R'!$C$13:$C$84,'Fator R'!$B$13:$B$84,$B55),0),"#.##0,00;; ""-"" ")&amp;" : "&amp;TEXT(IFERROR($C55/SUMIFS('Fator R'!$C$13:$C$84,'Fator R'!$B$13:$B$84,$B55),0),"#.##0,00% ;; ""-"" ")</f>
        <v xml:space="preserve"> -  :  - </v>
      </c>
    </row>
    <row r="56" spans="2:4" x14ac:dyDescent="0.3">
      <c r="B56" s="118">
        <f>EDATE(T_DtIni[DATA INICIAL],ROW()-ROW($B$20)-1)</f>
        <v>43800</v>
      </c>
      <c r="C56" s="123"/>
      <c r="D56" s="119" t="str">
        <f>TEXT(IFERROR(SUMIFS('Fator R'!$C$13:$C$84,'Fator R'!$B$13:$B$84,$B56),0),"#.##0,00;; ""-"" ")&amp;" : "&amp;TEXT(IFERROR($C56/SUMIFS('Fator R'!$C$13:$C$84,'Fator R'!$B$13:$B$84,$B56),0),"#.##0,00% ;; ""-"" ")</f>
        <v xml:space="preserve"> -  :  - </v>
      </c>
    </row>
    <row r="57" spans="2:4" x14ac:dyDescent="0.3">
      <c r="B57" s="118">
        <f>EDATE(T_DtIni[DATA INICIAL],ROW()-ROW($B$20)-1)</f>
        <v>43831</v>
      </c>
      <c r="C57" s="123"/>
      <c r="D57" s="119" t="str">
        <f>TEXT(IFERROR(SUMIFS('Fator R'!$C$13:$C$84,'Fator R'!$B$13:$B$84,$B57),0),"#.##0,00;; ""-"" ")&amp;" : "&amp;TEXT(IFERROR($C57/SUMIFS('Fator R'!$C$13:$C$84,'Fator R'!$B$13:$B$84,$B57),0),"#.##0,00% ;; ""-"" ")</f>
        <v xml:space="preserve"> -  :  - </v>
      </c>
    </row>
    <row r="58" spans="2:4" x14ac:dyDescent="0.3">
      <c r="B58" s="118">
        <f>EDATE(T_DtIni[DATA INICIAL],ROW()-ROW($B$20)-1)</f>
        <v>43862</v>
      </c>
      <c r="C58" s="123"/>
      <c r="D58" s="119" t="str">
        <f>TEXT(IFERROR(SUMIFS('Fator R'!$C$13:$C$84,'Fator R'!$B$13:$B$84,$B58),0),"#.##0,00;; ""-"" ")&amp;" : "&amp;TEXT(IFERROR($C58/SUMIFS('Fator R'!$C$13:$C$84,'Fator R'!$B$13:$B$84,$B58),0),"#.##0,00% ;; ""-"" ")</f>
        <v xml:space="preserve"> -  :  - </v>
      </c>
    </row>
    <row r="59" spans="2:4" x14ac:dyDescent="0.3">
      <c r="B59" s="118">
        <f>EDATE(T_DtIni[DATA INICIAL],ROW()-ROW($B$20)-1)</f>
        <v>43891</v>
      </c>
      <c r="C59" s="123"/>
      <c r="D59" s="119" t="str">
        <f>TEXT(IFERROR(SUMIFS('Fator R'!$C$13:$C$84,'Fator R'!$B$13:$B$84,$B59),0),"#.##0,00;; ""-"" ")&amp;" : "&amp;TEXT(IFERROR($C59/SUMIFS('Fator R'!$C$13:$C$84,'Fator R'!$B$13:$B$84,$B59),0),"#.##0,00% ;; ""-"" ")</f>
        <v xml:space="preserve"> -  :  - </v>
      </c>
    </row>
    <row r="60" spans="2:4" x14ac:dyDescent="0.3">
      <c r="B60" s="118">
        <f>EDATE(T_DtIni[DATA INICIAL],ROW()-ROW($B$20)-1)</f>
        <v>43922</v>
      </c>
      <c r="C60" s="123"/>
      <c r="D60" s="119" t="str">
        <f>TEXT(IFERROR(SUMIFS('Fator R'!$C$13:$C$84,'Fator R'!$B$13:$B$84,$B60),0),"#.##0,00;; ""-"" ")&amp;" : "&amp;TEXT(IFERROR($C60/SUMIFS('Fator R'!$C$13:$C$84,'Fator R'!$B$13:$B$84,$B60),0),"#.##0,00% ;; ""-"" ")</f>
        <v xml:space="preserve"> -  :  - </v>
      </c>
    </row>
    <row r="61" spans="2:4" x14ac:dyDescent="0.3">
      <c r="B61" s="118">
        <f>EDATE(T_DtIni[DATA INICIAL],ROW()-ROW($B$20)-1)</f>
        <v>43952</v>
      </c>
      <c r="C61" s="123"/>
      <c r="D61" s="119" t="str">
        <f>TEXT(IFERROR(SUMIFS('Fator R'!$C$13:$C$84,'Fator R'!$B$13:$B$84,$B61),0),"#.##0,00;; ""-"" ")&amp;" : "&amp;TEXT(IFERROR($C61/SUMIFS('Fator R'!$C$13:$C$84,'Fator R'!$B$13:$B$84,$B61),0),"#.##0,00% ;; ""-"" ")</f>
        <v xml:space="preserve"> -  :  - </v>
      </c>
    </row>
    <row r="62" spans="2:4" x14ac:dyDescent="0.3">
      <c r="B62" s="118">
        <f>EDATE(T_DtIni[DATA INICIAL],ROW()-ROW($B$20)-1)</f>
        <v>43983</v>
      </c>
      <c r="C62" s="123"/>
      <c r="D62" s="119" t="str">
        <f>TEXT(IFERROR(SUMIFS('Fator R'!$C$13:$C$84,'Fator R'!$B$13:$B$84,$B62),0),"#.##0,00;; ""-"" ")&amp;" : "&amp;TEXT(IFERROR($C62/SUMIFS('Fator R'!$C$13:$C$84,'Fator R'!$B$13:$B$84,$B62),0),"#.##0,00% ;; ""-"" ")</f>
        <v xml:space="preserve"> -  :  - </v>
      </c>
    </row>
    <row r="63" spans="2:4" x14ac:dyDescent="0.3">
      <c r="B63" s="118">
        <f>EDATE(T_DtIni[DATA INICIAL],ROW()-ROW($B$20)-1)</f>
        <v>44013</v>
      </c>
      <c r="C63" s="123"/>
      <c r="D63" s="119" t="str">
        <f>TEXT(IFERROR(SUMIFS('Fator R'!$C$13:$C$84,'Fator R'!$B$13:$B$84,$B63),0),"#.##0,00;; ""-"" ")&amp;" : "&amp;TEXT(IFERROR($C63/SUMIFS('Fator R'!$C$13:$C$84,'Fator R'!$B$13:$B$84,$B63),0),"#.##0,00% ;; ""-"" ")</f>
        <v xml:space="preserve"> -  :  - </v>
      </c>
    </row>
    <row r="64" spans="2:4" x14ac:dyDescent="0.3">
      <c r="B64" s="118">
        <f>EDATE(T_DtIni[DATA INICIAL],ROW()-ROW($B$20)-1)</f>
        <v>44044</v>
      </c>
      <c r="C64" s="123"/>
      <c r="D64" s="119" t="str">
        <f>TEXT(IFERROR(SUMIFS('Fator R'!$C$13:$C$84,'Fator R'!$B$13:$B$84,$B64),0),"#.##0,00;; ""-"" ")&amp;" : "&amp;TEXT(IFERROR($C64/SUMIFS('Fator R'!$C$13:$C$84,'Fator R'!$B$13:$B$84,$B64),0),"#.##0,00% ;; ""-"" ")</f>
        <v xml:space="preserve"> -  :  - </v>
      </c>
    </row>
    <row r="65" spans="2:4" x14ac:dyDescent="0.3">
      <c r="B65" s="118">
        <f>EDATE(T_DtIni[DATA INICIAL],ROW()-ROW($B$20)-1)</f>
        <v>44075</v>
      </c>
      <c r="C65" s="123"/>
      <c r="D65" s="119" t="str">
        <f>TEXT(IFERROR(SUMIFS('Fator R'!$C$13:$C$84,'Fator R'!$B$13:$B$84,$B65),0),"#.##0,00;; ""-"" ")&amp;" : "&amp;TEXT(IFERROR($C65/SUMIFS('Fator R'!$C$13:$C$84,'Fator R'!$B$13:$B$84,$B65),0),"#.##0,00% ;; ""-"" ")</f>
        <v xml:space="preserve"> -  :  - </v>
      </c>
    </row>
    <row r="66" spans="2:4" x14ac:dyDescent="0.3">
      <c r="B66" s="118">
        <f>EDATE(T_DtIni[DATA INICIAL],ROW()-ROW($B$20)-1)</f>
        <v>44105</v>
      </c>
      <c r="C66" s="123"/>
      <c r="D66" s="119" t="str">
        <f>TEXT(IFERROR(SUMIFS('Fator R'!$C$13:$C$84,'Fator R'!$B$13:$B$84,$B66),0),"#.##0,00;; ""-"" ")&amp;" : "&amp;TEXT(IFERROR($C66/SUMIFS('Fator R'!$C$13:$C$84,'Fator R'!$B$13:$B$84,$B66),0),"#.##0,00% ;; ""-"" ")</f>
        <v xml:space="preserve"> -  :  - </v>
      </c>
    </row>
    <row r="67" spans="2:4" x14ac:dyDescent="0.3">
      <c r="B67" s="118">
        <f>EDATE(T_DtIni[DATA INICIAL],ROW()-ROW($B$20)-1)</f>
        <v>44136</v>
      </c>
      <c r="C67" s="123"/>
      <c r="D67" s="119" t="str">
        <f>TEXT(IFERROR(SUMIFS('Fator R'!$C$13:$C$84,'Fator R'!$B$13:$B$84,$B67),0),"#.##0,00;; ""-"" ")&amp;" : "&amp;TEXT(IFERROR($C67/SUMIFS('Fator R'!$C$13:$C$84,'Fator R'!$B$13:$B$84,$B67),0),"#.##0,00% ;; ""-"" ")</f>
        <v xml:space="preserve"> -  :  - </v>
      </c>
    </row>
    <row r="68" spans="2:4" x14ac:dyDescent="0.3">
      <c r="B68" s="118">
        <f>EDATE(T_DtIni[DATA INICIAL],ROW()-ROW($B$20)-1)</f>
        <v>44166</v>
      </c>
      <c r="C68" s="123"/>
      <c r="D68" s="119" t="str">
        <f>TEXT(IFERROR(SUMIFS('Fator R'!$C$13:$C$84,'Fator R'!$B$13:$B$84,$B68),0),"#.##0,00;; ""-"" ")&amp;" : "&amp;TEXT(IFERROR($C68/SUMIFS('Fator R'!$C$13:$C$84,'Fator R'!$B$13:$B$84,$B68),0),"#.##0,00% ;; ""-"" ")</f>
        <v xml:space="preserve"> -  :  - </v>
      </c>
    </row>
    <row r="69" spans="2:4" x14ac:dyDescent="0.3">
      <c r="B69" s="118">
        <f>EDATE(T_DtIni[DATA INICIAL],ROW()-ROW($B$20)-1)</f>
        <v>44197</v>
      </c>
      <c r="C69" s="123"/>
      <c r="D69" s="119" t="str">
        <f>TEXT(IFERROR(SUMIFS('Fator R'!$C$13:$C$84,'Fator R'!$B$13:$B$84,$B69),0),"#.##0,00;; ""-"" ")&amp;" : "&amp;TEXT(IFERROR($C69/SUMIFS('Fator R'!$C$13:$C$84,'Fator R'!$B$13:$B$84,$B69),0),"#.##0,00% ;; ""-"" ")</f>
        <v xml:space="preserve"> -  :  - </v>
      </c>
    </row>
    <row r="70" spans="2:4" x14ac:dyDescent="0.3">
      <c r="B70" s="118">
        <f>EDATE(T_DtIni[DATA INICIAL],ROW()-ROW($B$20)-1)</f>
        <v>44228</v>
      </c>
      <c r="C70" s="123"/>
      <c r="D70" s="119" t="str">
        <f>TEXT(IFERROR(SUMIFS('Fator R'!$C$13:$C$84,'Fator R'!$B$13:$B$84,$B70),0),"#.##0,00;; ""-"" ")&amp;" : "&amp;TEXT(IFERROR($C70/SUMIFS('Fator R'!$C$13:$C$84,'Fator R'!$B$13:$B$84,$B70),0),"#.##0,00% ;; ""-"" ")</f>
        <v xml:space="preserve"> -  :  - </v>
      </c>
    </row>
    <row r="71" spans="2:4" x14ac:dyDescent="0.3">
      <c r="B71" s="118">
        <f>EDATE(T_DtIni[DATA INICIAL],ROW()-ROW($B$20)-1)</f>
        <v>44256</v>
      </c>
      <c r="C71" s="123"/>
      <c r="D71" s="119" t="str">
        <f>TEXT(IFERROR(SUMIFS('Fator R'!$C$13:$C$84,'Fator R'!$B$13:$B$84,$B71),0),"#.##0,00;; ""-"" ")&amp;" : "&amp;TEXT(IFERROR($C71/SUMIFS('Fator R'!$C$13:$C$84,'Fator R'!$B$13:$B$84,$B71),0),"#.##0,00% ;; ""-"" ")</f>
        <v xml:space="preserve"> -  :  - </v>
      </c>
    </row>
    <row r="72" spans="2:4" x14ac:dyDescent="0.3">
      <c r="B72" s="118">
        <f>EDATE(T_DtIni[DATA INICIAL],ROW()-ROW($B$20)-1)</f>
        <v>44287</v>
      </c>
      <c r="C72" s="123"/>
      <c r="D72" s="119" t="str">
        <f>TEXT(IFERROR(SUMIFS('Fator R'!$C$13:$C$84,'Fator R'!$B$13:$B$84,$B72),0),"#.##0,00;; ""-"" ")&amp;" : "&amp;TEXT(IFERROR($C72/SUMIFS('Fator R'!$C$13:$C$84,'Fator R'!$B$13:$B$84,$B72),0),"#.##0,00% ;; ""-"" ")</f>
        <v xml:space="preserve"> -  :  - </v>
      </c>
    </row>
    <row r="73" spans="2:4" x14ac:dyDescent="0.3">
      <c r="B73" s="118">
        <f>EDATE(T_DtIni[DATA INICIAL],ROW()-ROW($B$20)-1)</f>
        <v>44317</v>
      </c>
      <c r="C73" s="123"/>
      <c r="D73" s="119" t="str">
        <f>TEXT(IFERROR(SUMIFS('Fator R'!$C$13:$C$84,'Fator R'!$B$13:$B$84,$B73),0),"#.##0,00;; ""-"" ")&amp;" : "&amp;TEXT(IFERROR($C73/SUMIFS('Fator R'!$C$13:$C$84,'Fator R'!$B$13:$B$84,$B73),0),"#.##0,00% ;; ""-"" ")</f>
        <v xml:space="preserve"> -  :  - </v>
      </c>
    </row>
    <row r="74" spans="2:4" x14ac:dyDescent="0.3">
      <c r="B74" s="118">
        <f>EDATE(T_DtIni[DATA INICIAL],ROW()-ROW($B$20)-1)</f>
        <v>44348</v>
      </c>
      <c r="C74" s="123"/>
      <c r="D74" s="119" t="str">
        <f>TEXT(IFERROR(SUMIFS('Fator R'!$C$13:$C$84,'Fator R'!$B$13:$B$84,$B74),0),"#.##0,00;; ""-"" ")&amp;" : "&amp;TEXT(IFERROR($C74/SUMIFS('Fator R'!$C$13:$C$84,'Fator R'!$B$13:$B$84,$B74),0),"#.##0,00% ;; ""-"" ")</f>
        <v xml:space="preserve"> -  :  - </v>
      </c>
    </row>
    <row r="75" spans="2:4" x14ac:dyDescent="0.3">
      <c r="B75" s="118">
        <f>EDATE(T_DtIni[DATA INICIAL],ROW()-ROW($B$20)-1)</f>
        <v>44378</v>
      </c>
      <c r="C75" s="123"/>
      <c r="D75" s="119" t="str">
        <f>TEXT(IFERROR(SUMIFS('Fator R'!$C$13:$C$84,'Fator R'!$B$13:$B$84,$B75),0),"#.##0,00;; ""-"" ")&amp;" : "&amp;TEXT(IFERROR($C75/SUMIFS('Fator R'!$C$13:$C$84,'Fator R'!$B$13:$B$84,$B75),0),"#.##0,00% ;; ""-"" ")</f>
        <v xml:space="preserve"> -  :  - </v>
      </c>
    </row>
    <row r="76" spans="2:4" x14ac:dyDescent="0.3">
      <c r="B76" s="118">
        <f>EDATE(T_DtIni[DATA INICIAL],ROW()-ROW($B$20)-1)</f>
        <v>44409</v>
      </c>
      <c r="C76" s="123"/>
      <c r="D76" s="119" t="str">
        <f>TEXT(IFERROR(SUMIFS('Fator R'!$C$13:$C$84,'Fator R'!$B$13:$B$84,$B76),0),"#.##0,00;; ""-"" ")&amp;" : "&amp;TEXT(IFERROR($C76/SUMIFS('Fator R'!$C$13:$C$84,'Fator R'!$B$13:$B$84,$B76),0),"#.##0,00% ;; ""-"" ")</f>
        <v xml:space="preserve"> -  :  - </v>
      </c>
    </row>
    <row r="77" spans="2:4" x14ac:dyDescent="0.3">
      <c r="B77" s="118">
        <f>EDATE(T_DtIni[DATA INICIAL],ROW()-ROW($B$20)-1)</f>
        <v>44440</v>
      </c>
      <c r="C77" s="123"/>
      <c r="D77" s="119" t="str">
        <f>TEXT(IFERROR(SUMIFS('Fator R'!$C$13:$C$84,'Fator R'!$B$13:$B$84,$B77),0),"#.##0,00;; ""-"" ")&amp;" : "&amp;TEXT(IFERROR($C77/SUMIFS('Fator R'!$C$13:$C$84,'Fator R'!$B$13:$B$84,$B77),0),"#.##0,00% ;; ""-"" ")</f>
        <v xml:space="preserve"> -  :  - </v>
      </c>
    </row>
    <row r="78" spans="2:4" x14ac:dyDescent="0.3">
      <c r="B78" s="118">
        <f>EDATE(T_DtIni[DATA INICIAL],ROW()-ROW($B$20)-1)</f>
        <v>44470</v>
      </c>
      <c r="C78" s="123"/>
      <c r="D78" s="119" t="str">
        <f>TEXT(IFERROR(SUMIFS('Fator R'!$C$13:$C$84,'Fator R'!$B$13:$B$84,$B78),0),"#.##0,00;; ""-"" ")&amp;" : "&amp;TEXT(IFERROR($C78/SUMIFS('Fator R'!$C$13:$C$84,'Fator R'!$B$13:$B$84,$B78),0),"#.##0,00% ;; ""-"" ")</f>
        <v xml:space="preserve"> -  :  - </v>
      </c>
    </row>
    <row r="79" spans="2:4" x14ac:dyDescent="0.3">
      <c r="B79" s="118">
        <f>EDATE(T_DtIni[DATA INICIAL],ROW()-ROW($B$20)-1)</f>
        <v>44501</v>
      </c>
      <c r="C79" s="123"/>
      <c r="D79" s="119" t="str">
        <f>TEXT(IFERROR(SUMIFS('Fator R'!$C$13:$C$84,'Fator R'!$B$13:$B$84,$B79),0),"#.##0,00;; ""-"" ")&amp;" : "&amp;TEXT(IFERROR($C79/SUMIFS('Fator R'!$C$13:$C$84,'Fator R'!$B$13:$B$84,$B79),0),"#.##0,00% ;; ""-"" ")</f>
        <v xml:space="preserve"> -  :  - </v>
      </c>
    </row>
    <row r="80" spans="2:4" x14ac:dyDescent="0.3">
      <c r="B80" s="118">
        <f>EDATE(T_DtIni[DATA INICIAL],ROW()-ROW($B$20)-1)</f>
        <v>44531</v>
      </c>
      <c r="C80" s="123"/>
      <c r="D80" s="119" t="str">
        <f>TEXT(IFERROR(SUMIFS('Fator R'!$C$13:$C$84,'Fator R'!$B$13:$B$84,$B80),0),"#.##0,00;; ""-"" ")&amp;" : "&amp;TEXT(IFERROR($C80/SUMIFS('Fator R'!$C$13:$C$84,'Fator R'!$B$13:$B$84,$B80),0),"#.##0,00% ;; ""-"" ")</f>
        <v xml:space="preserve"> -  :  - </v>
      </c>
    </row>
    <row r="81" spans="2:4" x14ac:dyDescent="0.3">
      <c r="B81" s="118">
        <f>EDATE(T_DtIni[DATA INICIAL],ROW()-ROW($B$20)-1)</f>
        <v>44562</v>
      </c>
      <c r="C81" s="123"/>
      <c r="D81" s="119" t="str">
        <f>TEXT(IFERROR(SUMIFS('Fator R'!$C$13:$C$84,'Fator R'!$B$13:$B$84,$B81),0),"#.##0,00;; ""-"" ")&amp;" : "&amp;TEXT(IFERROR($C81/SUMIFS('Fator R'!$C$13:$C$84,'Fator R'!$B$13:$B$84,$B81),0),"#.##0,00% ;; ""-"" ")</f>
        <v xml:space="preserve"> -  :  - </v>
      </c>
    </row>
    <row r="82" spans="2:4" x14ac:dyDescent="0.3">
      <c r="B82" s="118">
        <f>EDATE(T_DtIni[DATA INICIAL],ROW()-ROW($B$20)-1)</f>
        <v>44593</v>
      </c>
      <c r="C82" s="123"/>
      <c r="D82" s="119" t="str">
        <f>TEXT(IFERROR(SUMIFS('Fator R'!$C$13:$C$84,'Fator R'!$B$13:$B$84,$B82),0),"#.##0,00;; ""-"" ")&amp;" : "&amp;TEXT(IFERROR($C82/SUMIFS('Fator R'!$C$13:$C$84,'Fator R'!$B$13:$B$84,$B82),0),"#.##0,00% ;; ""-"" ")</f>
        <v xml:space="preserve"> -  :  - </v>
      </c>
    </row>
    <row r="83" spans="2:4" x14ac:dyDescent="0.3">
      <c r="B83" s="118">
        <f>EDATE(T_DtIni[DATA INICIAL],ROW()-ROW($B$20)-1)</f>
        <v>44621</v>
      </c>
      <c r="C83" s="123"/>
      <c r="D83" s="119" t="str">
        <f>TEXT(IFERROR(SUMIFS('Fator R'!$C$13:$C$84,'Fator R'!$B$13:$B$84,$B83),0),"#.##0,00;; ""-"" ")&amp;" : "&amp;TEXT(IFERROR($C83/SUMIFS('Fator R'!$C$13:$C$84,'Fator R'!$B$13:$B$84,$B83),0),"#.##0,00% ;; ""-"" ")</f>
        <v xml:space="preserve"> -  :  - </v>
      </c>
    </row>
    <row r="84" spans="2:4" x14ac:dyDescent="0.3">
      <c r="B84" s="118">
        <f>EDATE(T_DtIni[DATA INICIAL],ROW()-ROW($B$20)-1)</f>
        <v>44652</v>
      </c>
      <c r="C84" s="123"/>
      <c r="D84" s="119" t="str">
        <f>TEXT(IFERROR(SUMIFS('Fator R'!$C$13:$C$84,'Fator R'!$B$13:$B$84,$B84),0),"#.##0,00;; ""-"" ")&amp;" : "&amp;TEXT(IFERROR($C84/SUMIFS('Fator R'!$C$13:$C$84,'Fator R'!$B$13:$B$84,$B84),0),"#.##0,00% ;; ""-"" ")</f>
        <v xml:space="preserve"> -  :  - </v>
      </c>
    </row>
    <row r="85" spans="2:4" x14ac:dyDescent="0.3">
      <c r="B85" s="118">
        <f>EDATE(T_DtIni[DATA INICIAL],ROW()-ROW($B$20)-1)</f>
        <v>44682</v>
      </c>
      <c r="C85" s="123"/>
      <c r="D85" s="119" t="str">
        <f>TEXT(IFERROR(SUMIFS('Fator R'!$C$13:$C$84,'Fator R'!$B$13:$B$84,$B85),0),"#.##0,00;; ""-"" ")&amp;" : "&amp;TEXT(IFERROR($C85/SUMIFS('Fator R'!$C$13:$C$84,'Fator R'!$B$13:$B$84,$B85),0),"#.##0,00% ;; ""-"" ")</f>
        <v xml:space="preserve"> -  :  - </v>
      </c>
    </row>
    <row r="86" spans="2:4" x14ac:dyDescent="0.3">
      <c r="B86" s="118">
        <f>EDATE(T_DtIni[DATA INICIAL],ROW()-ROW($B$20)-1)</f>
        <v>44713</v>
      </c>
      <c r="C86" s="123"/>
      <c r="D86" s="119" t="str">
        <f>TEXT(IFERROR(SUMIFS('Fator R'!$C$13:$C$84,'Fator R'!$B$13:$B$84,$B86),0),"#.##0,00;; ""-"" ")&amp;" : "&amp;TEXT(IFERROR($C86/SUMIFS('Fator R'!$C$13:$C$84,'Fator R'!$B$13:$B$84,$B86),0),"#.##0,00% ;; ""-"" ")</f>
        <v xml:space="preserve"> -  :  - </v>
      </c>
    </row>
    <row r="87" spans="2:4" x14ac:dyDescent="0.3">
      <c r="B87" s="118">
        <f>EDATE(T_DtIni[DATA INICIAL],ROW()-ROW($B$20)-1)</f>
        <v>44743</v>
      </c>
      <c r="C87" s="123"/>
      <c r="D87" s="119" t="str">
        <f>TEXT(IFERROR(SUMIFS('Fator R'!$C$13:$C$84,'Fator R'!$B$13:$B$84,$B87),0),"#.##0,00;; ""-"" ")&amp;" : "&amp;TEXT(IFERROR($C87/SUMIFS('Fator R'!$C$13:$C$84,'Fator R'!$B$13:$B$84,$B87),0),"#.##0,00% ;; ""-"" ")</f>
        <v xml:space="preserve"> -  :  - </v>
      </c>
    </row>
    <row r="88" spans="2:4" x14ac:dyDescent="0.3">
      <c r="B88" s="118">
        <f>EDATE(T_DtIni[DATA INICIAL],ROW()-ROW($B$20)-1)</f>
        <v>44774</v>
      </c>
      <c r="C88" s="123"/>
      <c r="D88" s="119" t="str">
        <f>TEXT(IFERROR(SUMIFS('Fator R'!$C$13:$C$84,'Fator R'!$B$13:$B$84,$B88),0),"#.##0,00;; ""-"" ")&amp;" : "&amp;TEXT(IFERROR($C88/SUMIFS('Fator R'!$C$13:$C$84,'Fator R'!$B$13:$B$84,$B88),0),"#.##0,00% ;; ""-"" ")</f>
        <v xml:space="preserve"> -  :  - </v>
      </c>
    </row>
    <row r="89" spans="2:4" x14ac:dyDescent="0.3">
      <c r="B89" s="118">
        <f>EDATE(T_DtIni[DATA INICIAL],ROW()-ROW($B$20)-1)</f>
        <v>44805</v>
      </c>
      <c r="C89" s="123"/>
      <c r="D89" s="119" t="str">
        <f>TEXT(IFERROR(SUMIFS('Fator R'!$C$13:$C$84,'Fator R'!$B$13:$B$84,$B89),0),"#.##0,00;; ""-"" ")&amp;" : "&amp;TEXT(IFERROR($C89/SUMIFS('Fator R'!$C$13:$C$84,'Fator R'!$B$13:$B$84,$B89),0),"#.##0,00% ;; ""-"" ")</f>
        <v xml:space="preserve"> -  :  - </v>
      </c>
    </row>
    <row r="90" spans="2:4" x14ac:dyDescent="0.3">
      <c r="B90" s="118">
        <f>EDATE(T_DtIni[DATA INICIAL],ROW()-ROW($B$20)-1)</f>
        <v>44835</v>
      </c>
      <c r="C90" s="123"/>
      <c r="D90" s="119" t="str">
        <f>TEXT(IFERROR(SUMIFS('Fator R'!$C$13:$C$84,'Fator R'!$B$13:$B$84,$B90),0),"#.##0,00;; ""-"" ")&amp;" : "&amp;TEXT(IFERROR($C90/SUMIFS('Fator R'!$C$13:$C$84,'Fator R'!$B$13:$B$84,$B90),0),"#.##0,00% ;; ""-"" ")</f>
        <v xml:space="preserve"> -  :  - </v>
      </c>
    </row>
    <row r="91" spans="2:4" x14ac:dyDescent="0.3">
      <c r="B91" s="118">
        <f>EDATE(T_DtIni[DATA INICIAL],ROW()-ROW($B$20)-1)</f>
        <v>44866</v>
      </c>
      <c r="C91" s="123"/>
      <c r="D91" s="119" t="str">
        <f>TEXT(IFERROR(SUMIFS('Fator R'!$C$13:$C$84,'Fator R'!$B$13:$B$84,$B91),0),"#.##0,00;; ""-"" ")&amp;" : "&amp;TEXT(IFERROR($C91/SUMIFS('Fator R'!$C$13:$C$84,'Fator R'!$B$13:$B$84,$B91),0),"#.##0,00% ;; ""-"" ")</f>
        <v xml:space="preserve"> -  :  - </v>
      </c>
    </row>
    <row r="92" spans="2:4" ht="15" thickBot="1" x14ac:dyDescent="0.35">
      <c r="B92" s="120">
        <f>EDATE(T_DtIni[DATA INICIAL],ROW()-ROW($B$20)-1)</f>
        <v>44896</v>
      </c>
      <c r="C92" s="124"/>
      <c r="D92" s="121" t="str">
        <f>TEXT(IFERROR(SUMIFS('Fator R'!$C$13:$C$84,'Fator R'!$B$13:$B$84,$B92),0),"#.##0,00;; ""-"" ")&amp;" : "&amp;TEXT(IFERROR($C92/SUMIFS('Fator R'!$C$13:$C$84,'Fator R'!$B$13:$B$84,$B92),0),"#.##0,00% ;; ""-"" ")</f>
        <v xml:space="preserve"> -  :  - </v>
      </c>
    </row>
  </sheetData>
  <sheetProtection algorithmName="SHA-512" hashValue="xo8seSVrviZ+0Wyj6Xr8TszdAFK3aiQsAa7IyzeDaLO4vwMwTFb7uJ9lcAbAle9jvwy3qCeI6DQonhfssL789Q==" saltValue="FyDDNreFEw7ZCoGbtXf7rg==" spinCount="100000" sheet="1" objects="1" scenarios="1"/>
  <mergeCells count="5">
    <mergeCell ref="B3:N3"/>
    <mergeCell ref="C7:D7"/>
    <mergeCell ref="C8:D9"/>
    <mergeCell ref="B19:D19"/>
    <mergeCell ref="B5:N5"/>
  </mergeCells>
  <conditionalFormatting sqref="N8">
    <cfRule type="cellIs" dxfId="191" priority="15" operator="equal">
      <formula>0.05</formula>
    </cfRule>
  </conditionalFormatting>
  <conditionalFormatting sqref="B5 O5">
    <cfRule type="cellIs" dxfId="190" priority="13" operator="notEqual">
      <formula>""</formula>
    </cfRule>
  </conditionalFormatting>
  <conditionalFormatting sqref="N8:N9 H8">
    <cfRule type="expression" dxfId="189" priority="12">
      <formula>OR(INDIRECT("T_RetISS")=1,INDIRECT("T_Sublimite"))</formula>
    </cfRule>
  </conditionalFormatting>
  <conditionalFormatting sqref="B21:B92 D21:D92">
    <cfRule type="expression" dxfId="188" priority="1">
      <formula>$B21=INDIRECT("T_DtRef")</formula>
    </cfRule>
  </conditionalFormatting>
  <conditionalFormatting sqref="C21:D92">
    <cfRule type="expression" dxfId="187" priority="2">
      <formula>$B21=EDATE(INDIRECT("T_DtRef"),-INDIRECT("T_QtdeMeses"))</formula>
    </cfRule>
    <cfRule type="expression" dxfId="186" priority="3">
      <formula>AND($B21&lt;EDATE(INDIRECT("T_DtRef"),-1),$B21&gt;EDATE(INDIRECT("T_DtRef"),-INDIRECT("T_QtdeMeses")))</formula>
    </cfRule>
    <cfRule type="expression" dxfId="185" priority="4">
      <formula>$B21=EDATE(INDIRECT("T_DtRef"),-1)</formula>
    </cfRule>
  </conditionalFormatting>
  <pageMargins left="0.51181102362204722" right="0.51181102362204722" top="0.78740157480314965" bottom="0.78740157480314965" header="0.31496062992125984" footer="0.31496062992125984"/>
  <pageSetup paperSize="9" scale="58" orientation="landscape" r:id="rId1"/>
  <colBreaks count="1" manualBreakCount="1">
    <brk id="1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Mês Referência">
              <controlPr defaultSize="0" autoLine="0" autoPict="0">
                <anchor>
                  <from>
                    <xdr:col>1</xdr:col>
                    <xdr:colOff>68580</xdr:colOff>
                    <xdr:row>7</xdr:row>
                    <xdr:rowOff>160020</xdr:rowOff>
                  </from>
                  <to>
                    <xdr:col>1</xdr:col>
                    <xdr:colOff>693420</xdr:colOff>
                    <xdr:row>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14</xdr:col>
                    <xdr:colOff>495300</xdr:colOff>
                    <xdr:row>7</xdr:row>
                    <xdr:rowOff>60960</xdr:rowOff>
                  </from>
                  <to>
                    <xdr:col>14</xdr:col>
                    <xdr:colOff>1333500</xdr:colOff>
                    <xdr:row>8</xdr:row>
                    <xdr:rowOff>60960</xdr:rowOff>
                  </to>
                </anchor>
              </controlPr>
            </control>
          </mc:Choice>
        </mc:AlternateContent>
      </controls>
    </mc:Choice>
  </mc:AlternateContent>
  <tableParts count="7"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91CA8CEE-1004-4FF7-A4E4-B45A3882E132}">
            <xm:f>INDIRECT("T_FaixaA3[[#Esta Linha];[FAIXA]]")=SUPORTE!$Q$6</xm:f>
            <x14:dxf>
              <font>
                <b/>
                <i val="0"/>
              </font>
              <fill>
                <patternFill>
                  <bgColor theme="4" tint="0.79998168889431442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</border>
            </x14:dxf>
          </x14:cfRule>
          <xm:sqref>B12:D17 F12:N19</xm:sqref>
        </x14:conditionalFormatting>
        <x14:conditionalFormatting xmlns:xm="http://schemas.microsoft.com/office/excel/2006/main">
          <x14:cfRule type="expression" priority="18" id="{34819A81-504E-4716-AB04-CC4D10AB1794}">
            <xm:f>AND(SUPORTE!$Q$6=5,$H$8&gt;INDIRECT("T_AliquotaA3"))</xm:f>
            <x14:dxf>
              <font>
                <strike/>
              </font>
              <fill>
                <patternFill patternType="none">
                  <bgColor auto="1"/>
                </patternFill>
              </fill>
              <border>
                <left style="thin">
                  <color rgb="FF3C88A6"/>
                </left>
                <right style="thin">
                  <color rgb="FF3C88A6"/>
                </right>
                <top style="thin">
                  <color rgb="FF3C88A6"/>
                </top>
                <bottom style="thin">
                  <color rgb="FF3C88A6"/>
                </bottom>
                <vertical/>
                <horizontal/>
              </border>
            </x14:dxf>
          </x14:cfRule>
          <xm:sqref>F16:N16</xm:sqref>
        </x14:conditionalFormatting>
        <x14:conditionalFormatting xmlns:xm="http://schemas.microsoft.com/office/excel/2006/main">
          <x14:cfRule type="expression" priority="23" id="{007457E7-FB8F-43A1-AF3A-F918959A9548}">
            <xm:f>AND(SUPORTE!$Q$6=5,$H$8&gt;INDIRECT("T_AliquotaA3"))</xm:f>
            <x14:dxf>
              <font>
                <b/>
                <i val="0"/>
              </font>
              <fill>
                <patternFill>
                  <bgColor theme="4" tint="0.79998168889431442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m:sqref>F18:N18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9C74C-DF5A-4506-8654-4050BF64A572}">
  <sheetPr codeName="Planilha6">
    <tabColor rgb="FF62A9C6"/>
  </sheetPr>
  <dimension ref="B1:AB92"/>
  <sheetViews>
    <sheetView showGridLines="0" showRowColHeaders="0" zoomScale="85" zoomScaleNormal="85" workbookViewId="0">
      <selection activeCell="C21" sqref="C21"/>
    </sheetView>
  </sheetViews>
  <sheetFormatPr defaultColWidth="9.109375" defaultRowHeight="14.4" x14ac:dyDescent="0.3"/>
  <cols>
    <col min="1" max="1" width="5.6640625" style="27" customWidth="1"/>
    <col min="2" max="2" width="12" style="27" customWidth="1"/>
    <col min="3" max="3" width="15" style="27" bestFit="1" customWidth="1"/>
    <col min="4" max="4" width="21.109375" style="27" customWidth="1"/>
    <col min="5" max="5" width="5.5546875" style="27" customWidth="1"/>
    <col min="6" max="6" width="6.33203125" style="27" customWidth="1"/>
    <col min="7" max="7" width="19.6640625" style="27" customWidth="1"/>
    <col min="8" max="8" width="17.44140625" style="27" customWidth="1"/>
    <col min="9" max="14" width="15.33203125" style="27" customWidth="1"/>
    <col min="15" max="15" width="28.5546875" style="27" customWidth="1"/>
    <col min="16" max="16" width="10.109375" style="27" bestFit="1" customWidth="1"/>
    <col min="17" max="17" width="11.6640625" style="27" hidden="1" customWidth="1"/>
    <col min="18" max="18" width="12.6640625" style="27" hidden="1" customWidth="1"/>
    <col min="19" max="26" width="9.109375" style="27" hidden="1" customWidth="1"/>
    <col min="27" max="27" width="12.5546875" style="27" hidden="1" customWidth="1"/>
    <col min="28" max="28" width="9.109375" style="27" hidden="1" customWidth="1"/>
    <col min="29" max="16384" width="9.109375" style="27"/>
  </cols>
  <sheetData>
    <row r="1" spans="2:28" s="26" customFormat="1" ht="40.5" customHeight="1" thickBot="1" x14ac:dyDescent="0.55000000000000004">
      <c r="B1" s="33" t="s">
        <v>46</v>
      </c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Q1" s="86" t="s">
        <v>71</v>
      </c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</row>
    <row r="2" spans="2:28" s="26" customFormat="1" ht="5.25" customHeight="1" thickTop="1" x14ac:dyDescent="0.3">
      <c r="B2" s="37"/>
    </row>
    <row r="3" spans="2:28" s="26" customFormat="1" ht="21" customHeight="1" x14ac:dyDescent="0.3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2:28" s="26" customFormat="1" ht="7.5" customHeight="1" x14ac:dyDescent="0.3">
      <c r="B4" s="37"/>
    </row>
    <row r="5" spans="2:28" s="26" customFormat="1" ht="33" customHeight="1" x14ac:dyDescent="0.3">
      <c r="B5" s="147" t="str">
        <f>CONCATENATE(IF(AA8,AB8&amp;" ",""),IF(AA9,AB9&amp;" ",""),IF(AA10,AB10&amp;" ",""),IF(AA11,AB11&amp;" ",""))</f>
        <v/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67"/>
      <c r="P5" s="68"/>
    </row>
    <row r="6" spans="2:28" s="26" customFormat="1" ht="7.5" customHeight="1" thickBot="1" x14ac:dyDescent="0.35">
      <c r="B6" s="37"/>
    </row>
    <row r="7" spans="2:28" ht="30" customHeight="1" thickBot="1" x14ac:dyDescent="0.35">
      <c r="B7" s="38" t="s">
        <v>22</v>
      </c>
      <c r="C7" s="138" t="s">
        <v>85</v>
      </c>
      <c r="D7" s="139"/>
      <c r="F7" s="39" t="s">
        <v>5</v>
      </c>
      <c r="G7" s="40" t="s">
        <v>64</v>
      </c>
      <c r="H7" s="83" t="s">
        <v>79</v>
      </c>
      <c r="I7" s="31" t="s">
        <v>8</v>
      </c>
      <c r="J7" s="31" t="s">
        <v>9</v>
      </c>
      <c r="K7" s="31" t="s">
        <v>10</v>
      </c>
      <c r="L7" s="31" t="s">
        <v>11</v>
      </c>
      <c r="M7" s="31" t="s">
        <v>13</v>
      </c>
      <c r="N7"/>
      <c r="Q7" s="31" t="s">
        <v>8</v>
      </c>
      <c r="R7" s="31" t="s">
        <v>9</v>
      </c>
      <c r="S7" s="31" t="s">
        <v>10</v>
      </c>
      <c r="T7" s="31" t="s">
        <v>11</v>
      </c>
      <c r="U7" s="31" t="s">
        <v>13</v>
      </c>
      <c r="V7" s="31" t="s">
        <v>27</v>
      </c>
      <c r="X7" s="27" t="s">
        <v>78</v>
      </c>
      <c r="AA7" s="27" t="s">
        <v>43</v>
      </c>
      <c r="AB7" s="27" t="s">
        <v>42</v>
      </c>
    </row>
    <row r="8" spans="2:28" ht="22.5" customHeight="1" thickBot="1" x14ac:dyDescent="0.35">
      <c r="B8" s="41"/>
      <c r="C8" s="140">
        <f>SUPORTE!$Q$4</f>
        <v>0</v>
      </c>
      <c r="D8" s="141"/>
      <c r="F8" s="42">
        <f>SUPORTE!$Q$6</f>
        <v>1</v>
      </c>
      <c r="G8" s="43">
        <f>IFERROR(SUMIFS('Anexo IV - Serviços'!$C$21:$C$92,'Anexo IV - Serviços'!$B$21:$B$92,T_DtRef[DATA REFERENCIA]),0)</f>
        <v>0</v>
      </c>
      <c r="H8" s="79">
        <f>IFERROR(T_AliquotaA4[ALÍQUOTA NOMINAL]-IF(OR(T_RetISS[RETENÇÃO ISS]=1,T_Sublimite[LIMITE 3600K]),IF(AND(T_RetISS[RETENÇÃO ISS]=1,T_DtRef[DATA REFERENCIA]=T_DtIni[DATA INICIAL]),$U$13,IF(AND(T_AliquotaA4[ALÍQUOTA NOMINAL]&gt;T_LimiteA4[LIMITE ISS],SUPORTE!$Q$6=5),$U$11,$U$9)),0),0)</f>
        <v>0</v>
      </c>
      <c r="I8" s="44">
        <f>IFERROR(IF(AND(T_RetISS[RETENÇÃO ISS]=1,T_DtRef[DATA REFERENCIA]=T_DtIni[DATA INICIAL]),Q13,IF(T_AliquotaA4[ALÍQUOTA NOMINAL]&gt;T_LimiteA4[LIMITE ISS],Q10,Q8))*IF(OR(T_RetISS[RETENÇÃO ISS]=1,T_Sublimite[LIMITE 3600K]),Q12,1),0)</f>
        <v>0</v>
      </c>
      <c r="J8" s="44">
        <f>IFERROR(IF(AND(T_RetISS[RETENÇÃO ISS]=1,T_DtRef[DATA REFERENCIA]=T_DtIni[DATA INICIAL]),R13,IF(T_AliquotaA4[ALÍQUOTA NOMINAL]&gt;T_LimiteA4[LIMITE ISS],R10,R8))*IF(OR(T_RetISS[RETENÇÃO ISS]=1,T_Sublimite[LIMITE 3600K]),R12,1),0)</f>
        <v>0</v>
      </c>
      <c r="K8" s="44">
        <f>IFERROR(IF(AND(T_RetISS[RETENÇÃO ISS]=1,T_DtRef[DATA REFERENCIA]=T_DtIni[DATA INICIAL]),S13,IF(T_AliquotaA4[ALÍQUOTA NOMINAL]&gt;T_LimiteA4[LIMITE ISS],S10,S8))*IF(OR(T_RetISS[RETENÇÃO ISS]=1,T_Sublimite[LIMITE 3600K]),S12,1),0)</f>
        <v>0</v>
      </c>
      <c r="L8" s="44">
        <f>IFERROR(IF(AND(T_RetISS[RETENÇÃO ISS]=1,T_DtRef[DATA REFERENCIA]=T_DtIni[DATA INICIAL]),T13,IF(T_AliquotaA4[ALÍQUOTA NOMINAL]&gt;T_LimiteA4[LIMITE ISS],T10,T8))*IF(OR(T_RetISS[RETENÇÃO ISS]=1,T_Sublimite[LIMITE 3600K]),T12,1),0)</f>
        <v>0</v>
      </c>
      <c r="M8" s="44">
        <f>IFERROR(IF(AND(T_RetISS[RETENÇÃO ISS]=1,T_DtRef[DATA REFERENCIA]=T_DtIni[DATA INICIAL]),U13,IF(T_AliquotaA4[ALÍQUOTA NOMINAL]&gt;T_LimiteA4[LIMITE ISS],U10,U8))*IF(OR(T_RetISS[RETENÇÃO ISS]=1,T_Sublimite[LIMITE 3600K]),U12,1),0)</f>
        <v>0</v>
      </c>
      <c r="N8" s="84"/>
      <c r="O8" s="26"/>
      <c r="Q8" s="45">
        <f>IFERROR(VLOOKUP(SUPORTE!$Q$6,T_TaxaA4[],MATCH(Q7,T_TaxaA4[#Headers],0),0)*T_AliquotaA4[ALÍQUOTA NOMINAL],0)</f>
        <v>0</v>
      </c>
      <c r="R8" s="45">
        <f>IFERROR(VLOOKUP(SUPORTE!$Q$6,T_TaxaA4[],MATCH(R7,T_TaxaA4[#Headers],0),0)*T_AliquotaA4[ALÍQUOTA NOMINAL],0)</f>
        <v>0</v>
      </c>
      <c r="S8" s="45">
        <f>IFERROR(VLOOKUP(SUPORTE!$Q$6,T_TaxaA4[],MATCH(S7,T_TaxaA4[#Headers],0),0)*T_AliquotaA4[ALÍQUOTA NOMINAL],0)</f>
        <v>0</v>
      </c>
      <c r="T8" s="45">
        <f>IFERROR(VLOOKUP(SUPORTE!$Q$6,T_TaxaA4[],MATCH(T7,T_TaxaA4[#Headers],0),0)*T_AliquotaA4[ALÍQUOTA NOMINAL],0)</f>
        <v>0</v>
      </c>
      <c r="U8" s="45">
        <f>IFERROR(VLOOKUP(SUPORTE!$Q$6,T_TaxaA4[],MATCH(U7,T_TaxaA4[#Headers],0),0)*T_AliquotaA4[ALÍQUOTA NOMINAL],0)</f>
        <v>0</v>
      </c>
      <c r="V8" s="45">
        <f>SUM(T_A4Suporte[[#This Row],[IRPJ]:[ISS]])</f>
        <v>0</v>
      </c>
      <c r="X8" s="82">
        <f>IFERROR(($C$8*VLOOKUP(SUPORTE!$Q$6,T_TaxaA4[],MATCH(X7,T_TaxaA4[#Headers],0),0)-VLOOKUP(SUPORTE!$Q$6,T_TaxaA4[],MATCH("VALOR A DEDUZIR (R$)",T_TaxaA4[#Headers],0),0))/$C$8,0)</f>
        <v>0</v>
      </c>
      <c r="AA8" s="81" t="b">
        <f>T_RetISS[RETENÇÃO ISS]=1</f>
        <v>0</v>
      </c>
      <c r="AB8" s="27" t="s">
        <v>77</v>
      </c>
    </row>
    <row r="9" spans="2:28" ht="22.5" customHeight="1" thickBot="1" x14ac:dyDescent="0.35">
      <c r="B9" s="46"/>
      <c r="C9" s="142"/>
      <c r="D9" s="143"/>
      <c r="F9" s="47" t="s">
        <v>26</v>
      </c>
      <c r="G9" s="48" t="s">
        <v>26</v>
      </c>
      <c r="H9" s="80">
        <f>IFERROR(SUM(T_A4[[#This Row],[IRPJ]:[ISS]]),0)</f>
        <v>0</v>
      </c>
      <c r="I9" s="49">
        <f>$G$8*I$8</f>
        <v>0</v>
      </c>
      <c r="J9" s="49">
        <f>$G$8*J$8</f>
        <v>0</v>
      </c>
      <c r="K9" s="49">
        <f>$G$8*K$8</f>
        <v>0</v>
      </c>
      <c r="L9" s="49">
        <f>$G$8*L$8</f>
        <v>0</v>
      </c>
      <c r="M9" s="49">
        <f>$G$8*M$8</f>
        <v>0</v>
      </c>
      <c r="N9" s="84"/>
      <c r="O9" s="26"/>
      <c r="Q9" s="45">
        <f>ROUND(Q8,4)</f>
        <v>0</v>
      </c>
      <c r="R9" s="45">
        <f t="shared" ref="R9:U11" si="0">ROUND(R8,4)</f>
        <v>0</v>
      </c>
      <c r="S9" s="45">
        <f t="shared" si="0"/>
        <v>0</v>
      </c>
      <c r="T9" s="45">
        <f t="shared" si="0"/>
        <v>0</v>
      </c>
      <c r="U9" s="45">
        <f t="shared" si="0"/>
        <v>0</v>
      </c>
      <c r="V9" s="45">
        <f>SUM(T_A4Suporte[[#This Row],[IRPJ]:[ISS]])</f>
        <v>0</v>
      </c>
      <c r="AA9" s="27" t="b">
        <f>AND(T_AliquotaA4[ALÍQUOTA NOMINAL]&gt;T_LimiteA4[LIMITE ISS],SUPORTE!$Q$6=5)</f>
        <v>0</v>
      </c>
      <c r="AB9" s="27" t="s">
        <v>88</v>
      </c>
    </row>
    <row r="10" spans="2:28" x14ac:dyDescent="0.3">
      <c r="N10"/>
      <c r="Q10" s="45">
        <f>IFERROR(VLOOKUP("5*",T_TaxaA4[],MATCH(Q7,T_TaxaA4[#Headers],0),0)*(T_AliquotaA4[ALÍQUOTA NOMINAL]-5%),0)</f>
        <v>-1.5665000000000002E-2</v>
      </c>
      <c r="R10" s="45">
        <f>IFERROR(VLOOKUP("5*",T_TaxaA4[],MATCH(R7,T_TaxaA4[#Headers],0),0)*(T_AliquotaA4[ALÍQUOTA NOMINAL]-5%),0)</f>
        <v>-1.6E-2</v>
      </c>
      <c r="S10" s="45">
        <f>IFERROR(VLOOKUP("5*",T_TaxaA4[],MATCH(S7,T_TaxaA4[#Headers],0),0)*(T_AliquotaA4[ALÍQUOTA NOMINAL]-5%),0)</f>
        <v>-1.5065000000000002E-2</v>
      </c>
      <c r="T10" s="45">
        <f>IFERROR(VLOOKUP("5*",T_TaxaA4[],MATCH(T7,T_TaxaA4[#Headers],0),0)*(T_AliquotaA4[ALÍQUOTA NOMINAL]-5%),0)</f>
        <v>-3.2700000000000003E-3</v>
      </c>
      <c r="U10" s="45">
        <f>5%</f>
        <v>0.05</v>
      </c>
      <c r="V10" s="45">
        <f>H8</f>
        <v>0</v>
      </c>
      <c r="AA10" s="74" t="b">
        <f>T_Sublimite[LIMITE 3600K]</f>
        <v>0</v>
      </c>
      <c r="AB10" s="27" t="s">
        <v>83</v>
      </c>
    </row>
    <row r="11" spans="2:28" x14ac:dyDescent="0.3">
      <c r="B11" s="50" t="s">
        <v>5</v>
      </c>
      <c r="C11" s="50" t="s">
        <v>6</v>
      </c>
      <c r="D11" s="50" t="s">
        <v>33</v>
      </c>
      <c r="F11" s="71" t="s">
        <v>5</v>
      </c>
      <c r="G11" s="72" t="s">
        <v>32</v>
      </c>
      <c r="H11" s="71" t="s">
        <v>78</v>
      </c>
      <c r="I11" s="71" t="s">
        <v>8</v>
      </c>
      <c r="J11" s="71" t="s">
        <v>9</v>
      </c>
      <c r="K11" s="71" t="s">
        <v>10</v>
      </c>
      <c r="L11" s="71" t="s">
        <v>11</v>
      </c>
      <c r="M11" s="71" t="s">
        <v>13</v>
      </c>
      <c r="N11" s="73"/>
      <c r="Q11" s="45">
        <f>ROUND(Q10,4)</f>
        <v>-1.5699999999999999E-2</v>
      </c>
      <c r="R11" s="45">
        <f t="shared" si="0"/>
        <v>-1.6E-2</v>
      </c>
      <c r="S11" s="45">
        <f t="shared" si="0"/>
        <v>-1.5100000000000001E-2</v>
      </c>
      <c r="T11" s="45">
        <f t="shared" si="0"/>
        <v>-3.3E-3</v>
      </c>
      <c r="U11" s="45">
        <f t="shared" si="0"/>
        <v>0.05</v>
      </c>
      <c r="V11" s="45">
        <f>SUM(T_A4Suporte[[#This Row],[IRPJ]:[ISS]])</f>
        <v>-9.9999999999995925E-5</v>
      </c>
      <c r="AA11" s="74" t="b">
        <f>AND($AA$8,T_DtRef[DATA REFERENCIA]=T_DtIni[DATA INICIAL])</f>
        <v>0</v>
      </c>
      <c r="AB11" s="27" t="s">
        <v>84</v>
      </c>
    </row>
    <row r="12" spans="2:28" x14ac:dyDescent="0.3">
      <c r="B12" s="50">
        <v>1</v>
      </c>
      <c r="C12" s="52">
        <v>0</v>
      </c>
      <c r="D12" s="52">
        <v>180000</v>
      </c>
      <c r="F12" s="50">
        <v>1</v>
      </c>
      <c r="G12" s="53">
        <v>0</v>
      </c>
      <c r="H12" s="54">
        <v>4.4999999999999998E-2</v>
      </c>
      <c r="I12" s="54">
        <v>0.188</v>
      </c>
      <c r="J12" s="54">
        <v>0.152</v>
      </c>
      <c r="K12" s="54">
        <v>0.1767</v>
      </c>
      <c r="L12" s="54">
        <v>3.8300000000000001E-2</v>
      </c>
      <c r="M12" s="54">
        <v>0.44500000000000001</v>
      </c>
      <c r="N12"/>
      <c r="Q12" s="45">
        <v>1</v>
      </c>
      <c r="R12" s="45">
        <v>1</v>
      </c>
      <c r="S12" s="45">
        <v>1</v>
      </c>
      <c r="T12" s="45">
        <v>1</v>
      </c>
      <c r="U12" s="45">
        <v>0</v>
      </c>
      <c r="V12" s="45">
        <f>SUM(T_A4Suporte[[#This Row],[IRPJ]:[ISS]])</f>
        <v>4</v>
      </c>
    </row>
    <row r="13" spans="2:28" x14ac:dyDescent="0.3">
      <c r="B13" s="50">
        <v>2</v>
      </c>
      <c r="C13" s="52">
        <v>180000.01</v>
      </c>
      <c r="D13" s="52">
        <v>360000</v>
      </c>
      <c r="F13" s="50">
        <v>2</v>
      </c>
      <c r="G13" s="53">
        <v>8100</v>
      </c>
      <c r="H13" s="54">
        <v>0.09</v>
      </c>
      <c r="I13" s="54">
        <v>0.19800000000000001</v>
      </c>
      <c r="J13" s="54">
        <v>0.152</v>
      </c>
      <c r="K13" s="54">
        <v>0.20549999999999999</v>
      </c>
      <c r="L13" s="54">
        <v>4.4499999999999998E-2</v>
      </c>
      <c r="M13" s="54">
        <v>0.4</v>
      </c>
      <c r="N13"/>
      <c r="Q13" s="93">
        <f>IFERROR(Q8/SUM($Q$8:$U$8)*(T_AliquotaA4[ALÍQUOTA NOMINAL]-T_A4Suporte[[#This Row],[ISS]]),0)</f>
        <v>0</v>
      </c>
      <c r="R13" s="93">
        <f>IFERROR(R8/SUM($Q$8:$U$8)*(T_AliquotaA4[ALÍQUOTA NOMINAL]-T_A4Suporte[[#This Row],[ISS]]),0)</f>
        <v>0</v>
      </c>
      <c r="S13" s="93">
        <f>IFERROR(S8/SUM($Q$8:$U$8)*(T_AliquotaA4[ALÍQUOTA NOMINAL]-T_A4Suporte[[#This Row],[ISS]]),0)</f>
        <v>0</v>
      </c>
      <c r="T13" s="93">
        <f>IFERROR(T8/SUM($Q$8:$U$8)*(T_AliquotaA4[ALÍQUOTA NOMINAL]-T_A4Suporte[[#This Row],[ISS]]),0)</f>
        <v>0</v>
      </c>
      <c r="U13" s="93">
        <f>IF(T_AliquotaA4[ALÍQUOTA NOMINAL]=0,0,2%)</f>
        <v>0</v>
      </c>
      <c r="V13" s="92">
        <f>SUM(Q13:U13)</f>
        <v>0</v>
      </c>
    </row>
    <row r="14" spans="2:28" x14ac:dyDescent="0.3">
      <c r="B14" s="50">
        <v>3</v>
      </c>
      <c r="C14" s="52">
        <v>360000.01</v>
      </c>
      <c r="D14" s="52">
        <v>720000</v>
      </c>
      <c r="F14" s="50">
        <v>3</v>
      </c>
      <c r="G14" s="53">
        <v>12420</v>
      </c>
      <c r="H14" s="54">
        <v>0.10199999999999999</v>
      </c>
      <c r="I14" s="54">
        <v>0.20799999999999999</v>
      </c>
      <c r="J14" s="54">
        <v>0.152</v>
      </c>
      <c r="K14" s="54">
        <v>0.1973</v>
      </c>
      <c r="L14" s="54">
        <v>4.2700000000000002E-2</v>
      </c>
      <c r="M14" s="54">
        <v>0.4</v>
      </c>
      <c r="N14"/>
    </row>
    <row r="15" spans="2:28" x14ac:dyDescent="0.3">
      <c r="B15" s="50">
        <v>4</v>
      </c>
      <c r="C15" s="52">
        <v>720000.01</v>
      </c>
      <c r="D15" s="52">
        <v>1800000</v>
      </c>
      <c r="F15" s="50">
        <v>4</v>
      </c>
      <c r="G15" s="53">
        <v>39780</v>
      </c>
      <c r="H15" s="54">
        <v>0.14000000000000001</v>
      </c>
      <c r="I15" s="54">
        <v>0.17799999999999999</v>
      </c>
      <c r="J15" s="54">
        <v>0.192</v>
      </c>
      <c r="K15" s="54">
        <v>0.189</v>
      </c>
      <c r="L15" s="54">
        <v>4.1000000000000002E-2</v>
      </c>
      <c r="M15" s="54">
        <v>0.4</v>
      </c>
      <c r="N15"/>
    </row>
    <row r="16" spans="2:28" x14ac:dyDescent="0.3">
      <c r="B16" s="50">
        <v>5</v>
      </c>
      <c r="C16" s="52">
        <v>1800000.01</v>
      </c>
      <c r="D16" s="52">
        <v>3600000</v>
      </c>
      <c r="F16" s="50">
        <v>5</v>
      </c>
      <c r="G16" s="53">
        <v>183780</v>
      </c>
      <c r="H16" s="54">
        <v>0.22</v>
      </c>
      <c r="I16" s="54">
        <v>0.188</v>
      </c>
      <c r="J16" s="54">
        <v>0.192</v>
      </c>
      <c r="K16" s="54">
        <v>0.18079999999999999</v>
      </c>
      <c r="L16" s="54">
        <v>3.9199999999999999E-2</v>
      </c>
      <c r="M16" s="54">
        <v>0.4</v>
      </c>
      <c r="N16"/>
    </row>
    <row r="17" spans="2:17" x14ac:dyDescent="0.3">
      <c r="B17" s="50">
        <v>6</v>
      </c>
      <c r="C17" s="52">
        <v>3600000.01</v>
      </c>
      <c r="D17" s="52">
        <v>4800000</v>
      </c>
      <c r="F17" s="50">
        <v>6</v>
      </c>
      <c r="G17" s="53">
        <v>828000</v>
      </c>
      <c r="H17" s="54">
        <v>0.33</v>
      </c>
      <c r="I17" s="54">
        <v>0.53500000000000003</v>
      </c>
      <c r="J17" s="54">
        <v>0.215</v>
      </c>
      <c r="K17" s="54">
        <v>0.20549999999999999</v>
      </c>
      <c r="L17" s="54">
        <v>4.4499999999999998E-2</v>
      </c>
      <c r="M17" s="54">
        <v>0</v>
      </c>
      <c r="N17"/>
      <c r="Q17" s="65" t="s">
        <v>39</v>
      </c>
    </row>
    <row r="18" spans="2:17" x14ac:dyDescent="0.3">
      <c r="F18" s="50" t="s">
        <v>40</v>
      </c>
      <c r="G18" s="53">
        <v>183780</v>
      </c>
      <c r="H18" s="54">
        <v>0.22</v>
      </c>
      <c r="I18" s="54">
        <v>0.31330000000000002</v>
      </c>
      <c r="J18" s="54">
        <v>0.32</v>
      </c>
      <c r="K18" s="54">
        <v>0.30130000000000001</v>
      </c>
      <c r="L18" s="54">
        <v>6.54E-2</v>
      </c>
      <c r="M18" s="66" t="s">
        <v>41</v>
      </c>
      <c r="N18"/>
      <c r="Q18" s="65">
        <v>0.125</v>
      </c>
    </row>
    <row r="19" spans="2:17" ht="36.75" customHeight="1" thickBot="1" x14ac:dyDescent="0.35">
      <c r="B19" s="137" t="s">
        <v>73</v>
      </c>
      <c r="C19" s="137"/>
      <c r="D19" s="137"/>
      <c r="F19" s="50"/>
      <c r="G19" s="64"/>
      <c r="H19" s="51"/>
      <c r="I19" s="51"/>
      <c r="J19" s="51"/>
      <c r="K19" s="51"/>
      <c r="L19" s="51"/>
      <c r="M19" s="51"/>
      <c r="N19" s="51"/>
    </row>
    <row r="20" spans="2:17" ht="15" thickBot="1" x14ac:dyDescent="0.35">
      <c r="B20" s="113" t="s">
        <v>0</v>
      </c>
      <c r="C20" s="114" t="s">
        <v>1</v>
      </c>
      <c r="D20" s="115" t="s">
        <v>37</v>
      </c>
      <c r="F20" s="56"/>
      <c r="G20" s="57"/>
      <c r="H20" s="57"/>
      <c r="I20" s="57"/>
      <c r="J20" s="57"/>
      <c r="K20" s="57"/>
      <c r="L20" s="57"/>
      <c r="M20" s="57"/>
      <c r="N20" s="58"/>
    </row>
    <row r="21" spans="2:17" x14ac:dyDescent="0.3">
      <c r="B21" s="116">
        <f>EDATE(T_DtIni[DATA INICIAL],ROW()-ROW($B$20)-1)</f>
        <v>42736</v>
      </c>
      <c r="C21" s="122"/>
      <c r="D21" s="117" t="str">
        <f>TEXT(IFERROR(SUMIFS('Fator R'!$C$13:$C$84,'Fator R'!$B$13:$B$84,$B21),0),"#.##0,00;; ""-"" ")&amp;" : "&amp;TEXT(IFERROR($C21/SUMIFS('Fator R'!$C$13:$C$84,'Fator R'!$B$13:$B$84,$B21),0),"#.##0,00% ;; ""-"" ")</f>
        <v xml:space="preserve"> -  :  - </v>
      </c>
    </row>
    <row r="22" spans="2:17" x14ac:dyDescent="0.3">
      <c r="B22" s="118">
        <f>EDATE(T_DtIni[DATA INICIAL],ROW()-ROW($B$20)-1)</f>
        <v>42767</v>
      </c>
      <c r="C22" s="123"/>
      <c r="D22" s="119" t="str">
        <f>TEXT(IFERROR(SUMIFS('Fator R'!$C$13:$C$84,'Fator R'!$B$13:$B$84,$B22),0),"#.##0,00;; ""-"" ")&amp;" : "&amp;TEXT(IFERROR($C22/SUMIFS('Fator R'!$C$13:$C$84,'Fator R'!$B$13:$B$84,$B22),0),"#.##0,00% ;; ""-"" ")</f>
        <v xml:space="preserve"> -  :  - </v>
      </c>
    </row>
    <row r="23" spans="2:17" x14ac:dyDescent="0.3">
      <c r="B23" s="118">
        <f>EDATE(T_DtIni[DATA INICIAL],ROW()-ROW($B$20)-1)</f>
        <v>42795</v>
      </c>
      <c r="C23" s="123"/>
      <c r="D23" s="119" t="str">
        <f>TEXT(IFERROR(SUMIFS('Fator R'!$C$13:$C$84,'Fator R'!$B$13:$B$84,$B23),0),"#.##0,00;; ""-"" ")&amp;" : "&amp;TEXT(IFERROR($C23/SUMIFS('Fator R'!$C$13:$C$84,'Fator R'!$B$13:$B$84,$B23),0),"#.##0,00% ;; ""-"" ")</f>
        <v xml:space="preserve"> -  :  - </v>
      </c>
    </row>
    <row r="24" spans="2:17" x14ac:dyDescent="0.3">
      <c r="B24" s="118">
        <f>EDATE(T_DtIni[DATA INICIAL],ROW()-ROW($B$20)-1)</f>
        <v>42826</v>
      </c>
      <c r="C24" s="123"/>
      <c r="D24" s="119" t="str">
        <f>TEXT(IFERROR(SUMIFS('Fator R'!$C$13:$C$84,'Fator R'!$B$13:$B$84,$B24),0),"#.##0,00;; ""-"" ")&amp;" : "&amp;TEXT(IFERROR($C24/SUMIFS('Fator R'!$C$13:$C$84,'Fator R'!$B$13:$B$84,$B24),0),"#.##0,00% ;; ""-"" ")</f>
        <v xml:space="preserve"> -  :  - </v>
      </c>
    </row>
    <row r="25" spans="2:17" x14ac:dyDescent="0.3">
      <c r="B25" s="118">
        <f>EDATE(T_DtIni[DATA INICIAL],ROW()-ROW($B$20)-1)</f>
        <v>42856</v>
      </c>
      <c r="C25" s="123"/>
      <c r="D25" s="119" t="str">
        <f>TEXT(IFERROR(SUMIFS('Fator R'!$C$13:$C$84,'Fator R'!$B$13:$B$84,$B25),0),"#.##0,00;; ""-"" ")&amp;" : "&amp;TEXT(IFERROR($C25/SUMIFS('Fator R'!$C$13:$C$84,'Fator R'!$B$13:$B$84,$B25),0),"#.##0,00% ;; ""-"" ")</f>
        <v xml:space="preserve"> -  :  - </v>
      </c>
    </row>
    <row r="26" spans="2:17" x14ac:dyDescent="0.3">
      <c r="B26" s="118">
        <f>EDATE(T_DtIni[DATA INICIAL],ROW()-ROW($B$20)-1)</f>
        <v>42887</v>
      </c>
      <c r="C26" s="123"/>
      <c r="D26" s="119" t="str">
        <f>TEXT(IFERROR(SUMIFS('Fator R'!$C$13:$C$84,'Fator R'!$B$13:$B$84,$B26),0),"#.##0,00;; ""-"" ")&amp;" : "&amp;TEXT(IFERROR($C26/SUMIFS('Fator R'!$C$13:$C$84,'Fator R'!$B$13:$B$84,$B26),0),"#.##0,00% ;; ""-"" ")</f>
        <v xml:space="preserve"> -  :  - </v>
      </c>
    </row>
    <row r="27" spans="2:17" x14ac:dyDescent="0.3">
      <c r="B27" s="118">
        <f>EDATE(T_DtIni[DATA INICIAL],ROW()-ROW($B$20)-1)</f>
        <v>42917</v>
      </c>
      <c r="C27" s="123"/>
      <c r="D27" s="119" t="str">
        <f>TEXT(IFERROR(SUMIFS('Fator R'!$C$13:$C$84,'Fator R'!$B$13:$B$84,$B27),0),"#.##0,00;; ""-"" ")&amp;" : "&amp;TEXT(IFERROR($C27/SUMIFS('Fator R'!$C$13:$C$84,'Fator R'!$B$13:$B$84,$B27),0),"#.##0,00% ;; ""-"" ")</f>
        <v xml:space="preserve"> -  :  - </v>
      </c>
    </row>
    <row r="28" spans="2:17" x14ac:dyDescent="0.3">
      <c r="B28" s="118">
        <f>EDATE(T_DtIni[DATA INICIAL],ROW()-ROW($B$20)-1)</f>
        <v>42948</v>
      </c>
      <c r="C28" s="123"/>
      <c r="D28" s="119" t="str">
        <f>TEXT(IFERROR(SUMIFS('Fator R'!$C$13:$C$84,'Fator R'!$B$13:$B$84,$B28),0),"#.##0,00;; ""-"" ")&amp;" : "&amp;TEXT(IFERROR($C28/SUMIFS('Fator R'!$C$13:$C$84,'Fator R'!$B$13:$B$84,$B28),0),"#.##0,00% ;; ""-"" ")</f>
        <v xml:space="preserve"> -  :  - </v>
      </c>
    </row>
    <row r="29" spans="2:17" x14ac:dyDescent="0.3">
      <c r="B29" s="118">
        <f>EDATE(T_DtIni[DATA INICIAL],ROW()-ROW($B$20)-1)</f>
        <v>42979</v>
      </c>
      <c r="C29" s="123"/>
      <c r="D29" s="119" t="str">
        <f>TEXT(IFERROR(SUMIFS('Fator R'!$C$13:$C$84,'Fator R'!$B$13:$B$84,$B29),0),"#.##0,00;; ""-"" ")&amp;" : "&amp;TEXT(IFERROR($C29/SUMIFS('Fator R'!$C$13:$C$84,'Fator R'!$B$13:$B$84,$B29),0),"#.##0,00% ;; ""-"" ")</f>
        <v xml:space="preserve"> -  :  - </v>
      </c>
    </row>
    <row r="30" spans="2:17" x14ac:dyDescent="0.3">
      <c r="B30" s="118">
        <f>EDATE(T_DtIni[DATA INICIAL],ROW()-ROW($B$20)-1)</f>
        <v>43009</v>
      </c>
      <c r="C30" s="123"/>
      <c r="D30" s="119" t="str">
        <f>TEXT(IFERROR(SUMIFS('Fator R'!$C$13:$C$84,'Fator R'!$B$13:$B$84,$B30),0),"#.##0,00;; ""-"" ")&amp;" : "&amp;TEXT(IFERROR($C30/SUMIFS('Fator R'!$C$13:$C$84,'Fator R'!$B$13:$B$84,$B30),0),"#.##0,00% ;; ""-"" ")</f>
        <v xml:space="preserve"> -  :  - </v>
      </c>
    </row>
    <row r="31" spans="2:17" x14ac:dyDescent="0.3">
      <c r="B31" s="118">
        <f>EDATE(T_DtIni[DATA INICIAL],ROW()-ROW($B$20)-1)</f>
        <v>43040</v>
      </c>
      <c r="C31" s="123"/>
      <c r="D31" s="119" t="str">
        <f>TEXT(IFERROR(SUMIFS('Fator R'!$C$13:$C$84,'Fator R'!$B$13:$B$84,$B31),0),"#.##0,00;; ""-"" ")&amp;" : "&amp;TEXT(IFERROR($C31/SUMIFS('Fator R'!$C$13:$C$84,'Fator R'!$B$13:$B$84,$B31),0),"#.##0,00% ;; ""-"" ")</f>
        <v xml:space="preserve"> -  :  - </v>
      </c>
    </row>
    <row r="32" spans="2:17" x14ac:dyDescent="0.3">
      <c r="B32" s="118">
        <f>EDATE(T_DtIni[DATA INICIAL],ROW()-ROW($B$20)-1)</f>
        <v>43070</v>
      </c>
      <c r="C32" s="123"/>
      <c r="D32" s="119" t="str">
        <f>TEXT(IFERROR(SUMIFS('Fator R'!$C$13:$C$84,'Fator R'!$B$13:$B$84,$B32),0),"#.##0,00;; ""-"" ")&amp;" : "&amp;TEXT(IFERROR($C32/SUMIFS('Fator R'!$C$13:$C$84,'Fator R'!$B$13:$B$84,$B32),0),"#.##0,00% ;; ""-"" ")</f>
        <v xml:space="preserve"> -  :  - </v>
      </c>
    </row>
    <row r="33" spans="2:4" x14ac:dyDescent="0.3">
      <c r="B33" s="118">
        <f>EDATE(T_DtIni[DATA INICIAL],ROW()-ROW($B$20)-1)</f>
        <v>43101</v>
      </c>
      <c r="C33" s="123"/>
      <c r="D33" s="119" t="str">
        <f>TEXT(IFERROR(SUMIFS('Fator R'!$C$13:$C$84,'Fator R'!$B$13:$B$84,$B33),0),"#.##0,00;; ""-"" ")&amp;" : "&amp;TEXT(IFERROR($C33/SUMIFS('Fator R'!$C$13:$C$84,'Fator R'!$B$13:$B$84,$B33),0),"#.##0,00% ;; ""-"" ")</f>
        <v xml:space="preserve"> -  :  - </v>
      </c>
    </row>
    <row r="34" spans="2:4" x14ac:dyDescent="0.3">
      <c r="B34" s="118">
        <f>EDATE(T_DtIni[DATA INICIAL],ROW()-ROW($B$20)-1)</f>
        <v>43132</v>
      </c>
      <c r="C34" s="123"/>
      <c r="D34" s="119" t="str">
        <f>TEXT(IFERROR(SUMIFS('Fator R'!$C$13:$C$84,'Fator R'!$B$13:$B$84,$B34),0),"#.##0,00;; ""-"" ")&amp;" : "&amp;TEXT(IFERROR($C34/SUMIFS('Fator R'!$C$13:$C$84,'Fator R'!$B$13:$B$84,$B34),0),"#.##0,00% ;; ""-"" ")</f>
        <v xml:space="preserve"> -  :  - </v>
      </c>
    </row>
    <row r="35" spans="2:4" x14ac:dyDescent="0.3">
      <c r="B35" s="118">
        <f>EDATE(T_DtIni[DATA INICIAL],ROW()-ROW($B$20)-1)</f>
        <v>43160</v>
      </c>
      <c r="C35" s="123"/>
      <c r="D35" s="119" t="str">
        <f>TEXT(IFERROR(SUMIFS('Fator R'!$C$13:$C$84,'Fator R'!$B$13:$B$84,$B35),0),"#.##0,00;; ""-"" ")&amp;" : "&amp;TEXT(IFERROR($C35/SUMIFS('Fator R'!$C$13:$C$84,'Fator R'!$B$13:$B$84,$B35),0),"#.##0,00% ;; ""-"" ")</f>
        <v xml:space="preserve"> -  :  - </v>
      </c>
    </row>
    <row r="36" spans="2:4" x14ac:dyDescent="0.3">
      <c r="B36" s="118">
        <f>EDATE(T_DtIni[DATA INICIAL],ROW()-ROW($B$20)-1)</f>
        <v>43191</v>
      </c>
      <c r="C36" s="123"/>
      <c r="D36" s="119" t="str">
        <f>TEXT(IFERROR(SUMIFS('Fator R'!$C$13:$C$84,'Fator R'!$B$13:$B$84,$B36),0),"#.##0,00;; ""-"" ")&amp;" : "&amp;TEXT(IFERROR($C36/SUMIFS('Fator R'!$C$13:$C$84,'Fator R'!$B$13:$B$84,$B36),0),"#.##0,00% ;; ""-"" ")</f>
        <v xml:space="preserve"> -  :  - </v>
      </c>
    </row>
    <row r="37" spans="2:4" x14ac:dyDescent="0.3">
      <c r="B37" s="118">
        <f>EDATE(T_DtIni[DATA INICIAL],ROW()-ROW($B$20)-1)</f>
        <v>43221</v>
      </c>
      <c r="C37" s="123"/>
      <c r="D37" s="119" t="str">
        <f>TEXT(IFERROR(SUMIFS('Fator R'!$C$13:$C$84,'Fator R'!$B$13:$B$84,$B37),0),"#.##0,00;; ""-"" ")&amp;" : "&amp;TEXT(IFERROR($C37/SUMIFS('Fator R'!$C$13:$C$84,'Fator R'!$B$13:$B$84,$B37),0),"#.##0,00% ;; ""-"" ")</f>
        <v xml:space="preserve"> -  :  - </v>
      </c>
    </row>
    <row r="38" spans="2:4" x14ac:dyDescent="0.3">
      <c r="B38" s="118">
        <f>EDATE(T_DtIni[DATA INICIAL],ROW()-ROW($B$20)-1)</f>
        <v>43252</v>
      </c>
      <c r="C38" s="123"/>
      <c r="D38" s="119" t="str">
        <f>TEXT(IFERROR(SUMIFS('Fator R'!$C$13:$C$84,'Fator R'!$B$13:$B$84,$B38),0),"#.##0,00;; ""-"" ")&amp;" : "&amp;TEXT(IFERROR($C38/SUMIFS('Fator R'!$C$13:$C$84,'Fator R'!$B$13:$B$84,$B38),0),"#.##0,00% ;; ""-"" ")</f>
        <v xml:space="preserve"> -  :  - </v>
      </c>
    </row>
    <row r="39" spans="2:4" x14ac:dyDescent="0.3">
      <c r="B39" s="118">
        <f>EDATE(T_DtIni[DATA INICIAL],ROW()-ROW($B$20)-1)</f>
        <v>43282</v>
      </c>
      <c r="C39" s="123"/>
      <c r="D39" s="119" t="str">
        <f>TEXT(IFERROR(SUMIFS('Fator R'!$C$13:$C$84,'Fator R'!$B$13:$B$84,$B39),0),"#.##0,00;; ""-"" ")&amp;" : "&amp;TEXT(IFERROR($C39/SUMIFS('Fator R'!$C$13:$C$84,'Fator R'!$B$13:$B$84,$B39),0),"#.##0,00% ;; ""-"" ")</f>
        <v xml:space="preserve"> -  :  - </v>
      </c>
    </row>
    <row r="40" spans="2:4" x14ac:dyDescent="0.3">
      <c r="B40" s="118">
        <f>EDATE(T_DtIni[DATA INICIAL],ROW()-ROW($B$20)-1)</f>
        <v>43313</v>
      </c>
      <c r="C40" s="123"/>
      <c r="D40" s="119" t="str">
        <f>TEXT(IFERROR(SUMIFS('Fator R'!$C$13:$C$84,'Fator R'!$B$13:$B$84,$B40),0),"#.##0,00;; ""-"" ")&amp;" : "&amp;TEXT(IFERROR($C40/SUMIFS('Fator R'!$C$13:$C$84,'Fator R'!$B$13:$B$84,$B40),0),"#.##0,00% ;; ""-"" ")</f>
        <v xml:space="preserve"> -  :  - </v>
      </c>
    </row>
    <row r="41" spans="2:4" x14ac:dyDescent="0.3">
      <c r="B41" s="118">
        <f>EDATE(T_DtIni[DATA INICIAL],ROW()-ROW($B$20)-1)</f>
        <v>43344</v>
      </c>
      <c r="C41" s="123"/>
      <c r="D41" s="119" t="str">
        <f>TEXT(IFERROR(SUMIFS('Fator R'!$C$13:$C$84,'Fator R'!$B$13:$B$84,$B41),0),"#.##0,00;; ""-"" ")&amp;" : "&amp;TEXT(IFERROR($C41/SUMIFS('Fator R'!$C$13:$C$84,'Fator R'!$B$13:$B$84,$B41),0),"#.##0,00% ;; ""-"" ")</f>
        <v xml:space="preserve"> -  :  - </v>
      </c>
    </row>
    <row r="42" spans="2:4" x14ac:dyDescent="0.3">
      <c r="B42" s="118">
        <f>EDATE(T_DtIni[DATA INICIAL],ROW()-ROW($B$20)-1)</f>
        <v>43374</v>
      </c>
      <c r="C42" s="123"/>
      <c r="D42" s="119" t="str">
        <f>TEXT(IFERROR(SUMIFS('Fator R'!$C$13:$C$84,'Fator R'!$B$13:$B$84,$B42),0),"#.##0,00;; ""-"" ")&amp;" : "&amp;TEXT(IFERROR($C42/SUMIFS('Fator R'!$C$13:$C$84,'Fator R'!$B$13:$B$84,$B42),0),"#.##0,00% ;; ""-"" ")</f>
        <v xml:space="preserve"> -  :  - </v>
      </c>
    </row>
    <row r="43" spans="2:4" x14ac:dyDescent="0.3">
      <c r="B43" s="118">
        <f>EDATE(T_DtIni[DATA INICIAL],ROW()-ROW($B$20)-1)</f>
        <v>43405</v>
      </c>
      <c r="C43" s="123"/>
      <c r="D43" s="119" t="str">
        <f>TEXT(IFERROR(SUMIFS('Fator R'!$C$13:$C$84,'Fator R'!$B$13:$B$84,$B43),0),"#.##0,00;; ""-"" ")&amp;" : "&amp;TEXT(IFERROR($C43/SUMIFS('Fator R'!$C$13:$C$84,'Fator R'!$B$13:$B$84,$B43),0),"#.##0,00% ;; ""-"" ")</f>
        <v xml:space="preserve"> -  :  - </v>
      </c>
    </row>
    <row r="44" spans="2:4" x14ac:dyDescent="0.3">
      <c r="B44" s="118">
        <f>EDATE(T_DtIni[DATA INICIAL],ROW()-ROW($B$20)-1)</f>
        <v>43435</v>
      </c>
      <c r="C44" s="123"/>
      <c r="D44" s="119" t="str">
        <f>TEXT(IFERROR(SUMIFS('Fator R'!$C$13:$C$84,'Fator R'!$B$13:$B$84,$B44),0),"#.##0,00;; ""-"" ")&amp;" : "&amp;TEXT(IFERROR($C44/SUMIFS('Fator R'!$C$13:$C$84,'Fator R'!$B$13:$B$84,$B44),0),"#.##0,00% ;; ""-"" ")</f>
        <v xml:space="preserve"> -  :  - </v>
      </c>
    </row>
    <row r="45" spans="2:4" x14ac:dyDescent="0.3">
      <c r="B45" s="118">
        <f>EDATE(T_DtIni[DATA INICIAL],ROW()-ROW($B$20)-1)</f>
        <v>43466</v>
      </c>
      <c r="C45" s="123"/>
      <c r="D45" s="119" t="str">
        <f>TEXT(IFERROR(SUMIFS('Fator R'!$C$13:$C$84,'Fator R'!$B$13:$B$84,$B45),0),"#.##0,00;; ""-"" ")&amp;" : "&amp;TEXT(IFERROR($C45/SUMIFS('Fator R'!$C$13:$C$84,'Fator R'!$B$13:$B$84,$B45),0),"#.##0,00% ;; ""-"" ")</f>
        <v xml:space="preserve"> -  :  - </v>
      </c>
    </row>
    <row r="46" spans="2:4" x14ac:dyDescent="0.3">
      <c r="B46" s="118">
        <f>EDATE(T_DtIni[DATA INICIAL],ROW()-ROW($B$20)-1)</f>
        <v>43497</v>
      </c>
      <c r="C46" s="123"/>
      <c r="D46" s="119" t="str">
        <f>TEXT(IFERROR(SUMIFS('Fator R'!$C$13:$C$84,'Fator R'!$B$13:$B$84,$B46),0),"#.##0,00;; ""-"" ")&amp;" : "&amp;TEXT(IFERROR($C46/SUMIFS('Fator R'!$C$13:$C$84,'Fator R'!$B$13:$B$84,$B46),0),"#.##0,00% ;; ""-"" ")</f>
        <v xml:space="preserve"> -  :  - </v>
      </c>
    </row>
    <row r="47" spans="2:4" x14ac:dyDescent="0.3">
      <c r="B47" s="118">
        <f>EDATE(T_DtIni[DATA INICIAL],ROW()-ROW($B$20)-1)</f>
        <v>43525</v>
      </c>
      <c r="C47" s="123"/>
      <c r="D47" s="119" t="str">
        <f>TEXT(IFERROR(SUMIFS('Fator R'!$C$13:$C$84,'Fator R'!$B$13:$B$84,$B47),0),"#.##0,00;; ""-"" ")&amp;" : "&amp;TEXT(IFERROR($C47/SUMIFS('Fator R'!$C$13:$C$84,'Fator R'!$B$13:$B$84,$B47),0),"#.##0,00% ;; ""-"" ")</f>
        <v xml:space="preserve"> -  :  - </v>
      </c>
    </row>
    <row r="48" spans="2:4" x14ac:dyDescent="0.3">
      <c r="B48" s="118">
        <f>EDATE(T_DtIni[DATA INICIAL],ROW()-ROW($B$20)-1)</f>
        <v>43556</v>
      </c>
      <c r="C48" s="123"/>
      <c r="D48" s="119" t="str">
        <f>TEXT(IFERROR(SUMIFS('Fator R'!$C$13:$C$84,'Fator R'!$B$13:$B$84,$B48),0),"#.##0,00;; ""-"" ")&amp;" : "&amp;TEXT(IFERROR($C48/SUMIFS('Fator R'!$C$13:$C$84,'Fator R'!$B$13:$B$84,$B48),0),"#.##0,00% ;; ""-"" ")</f>
        <v xml:space="preserve"> -  :  - </v>
      </c>
    </row>
    <row r="49" spans="2:4" x14ac:dyDescent="0.3">
      <c r="B49" s="118">
        <f>EDATE(T_DtIni[DATA INICIAL],ROW()-ROW($B$20)-1)</f>
        <v>43586</v>
      </c>
      <c r="C49" s="123"/>
      <c r="D49" s="119" t="str">
        <f>TEXT(IFERROR(SUMIFS('Fator R'!$C$13:$C$84,'Fator R'!$B$13:$B$84,$B49),0),"#.##0,00;; ""-"" ")&amp;" : "&amp;TEXT(IFERROR($C49/SUMIFS('Fator R'!$C$13:$C$84,'Fator R'!$B$13:$B$84,$B49),0),"#.##0,00% ;; ""-"" ")</f>
        <v xml:space="preserve"> -  :  - </v>
      </c>
    </row>
    <row r="50" spans="2:4" x14ac:dyDescent="0.3">
      <c r="B50" s="118">
        <f>EDATE(T_DtIni[DATA INICIAL],ROW()-ROW($B$20)-1)</f>
        <v>43617</v>
      </c>
      <c r="C50" s="123"/>
      <c r="D50" s="119" t="str">
        <f>TEXT(IFERROR(SUMIFS('Fator R'!$C$13:$C$84,'Fator R'!$B$13:$B$84,$B50),0),"#.##0,00;; ""-"" ")&amp;" : "&amp;TEXT(IFERROR($C50/SUMIFS('Fator R'!$C$13:$C$84,'Fator R'!$B$13:$B$84,$B50),0),"#.##0,00% ;; ""-"" ")</f>
        <v xml:space="preserve"> -  :  - </v>
      </c>
    </row>
    <row r="51" spans="2:4" x14ac:dyDescent="0.3">
      <c r="B51" s="118">
        <f>EDATE(T_DtIni[DATA INICIAL],ROW()-ROW($B$20)-1)</f>
        <v>43647</v>
      </c>
      <c r="C51" s="123"/>
      <c r="D51" s="119" t="str">
        <f>TEXT(IFERROR(SUMIFS('Fator R'!$C$13:$C$84,'Fator R'!$B$13:$B$84,$B51),0),"#.##0,00;; ""-"" ")&amp;" : "&amp;TEXT(IFERROR($C51/SUMIFS('Fator R'!$C$13:$C$84,'Fator R'!$B$13:$B$84,$B51),0),"#.##0,00% ;; ""-"" ")</f>
        <v xml:space="preserve"> -  :  - </v>
      </c>
    </row>
    <row r="52" spans="2:4" x14ac:dyDescent="0.3">
      <c r="B52" s="118">
        <f>EDATE(T_DtIni[DATA INICIAL],ROW()-ROW($B$20)-1)</f>
        <v>43678</v>
      </c>
      <c r="C52" s="123"/>
      <c r="D52" s="119" t="str">
        <f>TEXT(IFERROR(SUMIFS('Fator R'!$C$13:$C$84,'Fator R'!$B$13:$B$84,$B52),0),"#.##0,00;; ""-"" ")&amp;" : "&amp;TEXT(IFERROR($C52/SUMIFS('Fator R'!$C$13:$C$84,'Fator R'!$B$13:$B$84,$B52),0),"#.##0,00% ;; ""-"" ")</f>
        <v xml:space="preserve"> -  :  - </v>
      </c>
    </row>
    <row r="53" spans="2:4" x14ac:dyDescent="0.3">
      <c r="B53" s="118">
        <f>EDATE(T_DtIni[DATA INICIAL],ROW()-ROW($B$20)-1)</f>
        <v>43709</v>
      </c>
      <c r="C53" s="123"/>
      <c r="D53" s="119" t="str">
        <f>TEXT(IFERROR(SUMIFS('Fator R'!$C$13:$C$84,'Fator R'!$B$13:$B$84,$B53),0),"#.##0,00;; ""-"" ")&amp;" : "&amp;TEXT(IFERROR($C53/SUMIFS('Fator R'!$C$13:$C$84,'Fator R'!$B$13:$B$84,$B53),0),"#.##0,00% ;; ""-"" ")</f>
        <v xml:space="preserve"> -  :  - </v>
      </c>
    </row>
    <row r="54" spans="2:4" x14ac:dyDescent="0.3">
      <c r="B54" s="118">
        <f>EDATE(T_DtIni[DATA INICIAL],ROW()-ROW($B$20)-1)</f>
        <v>43739</v>
      </c>
      <c r="C54" s="123"/>
      <c r="D54" s="119" t="str">
        <f>TEXT(IFERROR(SUMIFS('Fator R'!$C$13:$C$84,'Fator R'!$B$13:$B$84,$B54),0),"#.##0,00;; ""-"" ")&amp;" : "&amp;TEXT(IFERROR($C54/SUMIFS('Fator R'!$C$13:$C$84,'Fator R'!$B$13:$B$84,$B54),0),"#.##0,00% ;; ""-"" ")</f>
        <v xml:space="preserve"> -  :  - </v>
      </c>
    </row>
    <row r="55" spans="2:4" x14ac:dyDescent="0.3">
      <c r="B55" s="118">
        <f>EDATE(T_DtIni[DATA INICIAL],ROW()-ROW($B$20)-1)</f>
        <v>43770</v>
      </c>
      <c r="C55" s="123"/>
      <c r="D55" s="119" t="str">
        <f>TEXT(IFERROR(SUMIFS('Fator R'!$C$13:$C$84,'Fator R'!$B$13:$B$84,$B55),0),"#.##0,00;; ""-"" ")&amp;" : "&amp;TEXT(IFERROR($C55/SUMIFS('Fator R'!$C$13:$C$84,'Fator R'!$B$13:$B$84,$B55),0),"#.##0,00% ;; ""-"" ")</f>
        <v xml:space="preserve"> -  :  - </v>
      </c>
    </row>
    <row r="56" spans="2:4" x14ac:dyDescent="0.3">
      <c r="B56" s="118">
        <f>EDATE(T_DtIni[DATA INICIAL],ROW()-ROW($B$20)-1)</f>
        <v>43800</v>
      </c>
      <c r="C56" s="123"/>
      <c r="D56" s="119" t="str">
        <f>TEXT(IFERROR(SUMIFS('Fator R'!$C$13:$C$84,'Fator R'!$B$13:$B$84,$B56),0),"#.##0,00;; ""-"" ")&amp;" : "&amp;TEXT(IFERROR($C56/SUMIFS('Fator R'!$C$13:$C$84,'Fator R'!$B$13:$B$84,$B56),0),"#.##0,00% ;; ""-"" ")</f>
        <v xml:space="preserve"> -  :  - </v>
      </c>
    </row>
    <row r="57" spans="2:4" x14ac:dyDescent="0.3">
      <c r="B57" s="118">
        <f>EDATE(T_DtIni[DATA INICIAL],ROW()-ROW($B$20)-1)</f>
        <v>43831</v>
      </c>
      <c r="C57" s="123"/>
      <c r="D57" s="119" t="str">
        <f>TEXT(IFERROR(SUMIFS('Fator R'!$C$13:$C$84,'Fator R'!$B$13:$B$84,$B57),0),"#.##0,00;; ""-"" ")&amp;" : "&amp;TEXT(IFERROR($C57/SUMIFS('Fator R'!$C$13:$C$84,'Fator R'!$B$13:$B$84,$B57),0),"#.##0,00% ;; ""-"" ")</f>
        <v xml:space="preserve"> -  :  - </v>
      </c>
    </row>
    <row r="58" spans="2:4" x14ac:dyDescent="0.3">
      <c r="B58" s="118">
        <f>EDATE(T_DtIni[DATA INICIAL],ROW()-ROW($B$20)-1)</f>
        <v>43862</v>
      </c>
      <c r="C58" s="123"/>
      <c r="D58" s="119" t="str">
        <f>TEXT(IFERROR(SUMIFS('Fator R'!$C$13:$C$84,'Fator R'!$B$13:$B$84,$B58),0),"#.##0,00;; ""-"" ")&amp;" : "&amp;TEXT(IFERROR($C58/SUMIFS('Fator R'!$C$13:$C$84,'Fator R'!$B$13:$B$84,$B58),0),"#.##0,00% ;; ""-"" ")</f>
        <v xml:space="preserve"> -  :  - </v>
      </c>
    </row>
    <row r="59" spans="2:4" x14ac:dyDescent="0.3">
      <c r="B59" s="118">
        <f>EDATE(T_DtIni[DATA INICIAL],ROW()-ROW($B$20)-1)</f>
        <v>43891</v>
      </c>
      <c r="C59" s="123"/>
      <c r="D59" s="119" t="str">
        <f>TEXT(IFERROR(SUMIFS('Fator R'!$C$13:$C$84,'Fator R'!$B$13:$B$84,$B59),0),"#.##0,00;; ""-"" ")&amp;" : "&amp;TEXT(IFERROR($C59/SUMIFS('Fator R'!$C$13:$C$84,'Fator R'!$B$13:$B$84,$B59),0),"#.##0,00% ;; ""-"" ")</f>
        <v xml:space="preserve"> -  :  - </v>
      </c>
    </row>
    <row r="60" spans="2:4" x14ac:dyDescent="0.3">
      <c r="B60" s="118">
        <f>EDATE(T_DtIni[DATA INICIAL],ROW()-ROW($B$20)-1)</f>
        <v>43922</v>
      </c>
      <c r="C60" s="123"/>
      <c r="D60" s="119" t="str">
        <f>TEXT(IFERROR(SUMIFS('Fator R'!$C$13:$C$84,'Fator R'!$B$13:$B$84,$B60),0),"#.##0,00;; ""-"" ")&amp;" : "&amp;TEXT(IFERROR($C60/SUMIFS('Fator R'!$C$13:$C$84,'Fator R'!$B$13:$B$84,$B60),0),"#.##0,00% ;; ""-"" ")</f>
        <v xml:space="preserve"> -  :  - </v>
      </c>
    </row>
    <row r="61" spans="2:4" x14ac:dyDescent="0.3">
      <c r="B61" s="118">
        <f>EDATE(T_DtIni[DATA INICIAL],ROW()-ROW($B$20)-1)</f>
        <v>43952</v>
      </c>
      <c r="C61" s="123"/>
      <c r="D61" s="119" t="str">
        <f>TEXT(IFERROR(SUMIFS('Fator R'!$C$13:$C$84,'Fator R'!$B$13:$B$84,$B61),0),"#.##0,00;; ""-"" ")&amp;" : "&amp;TEXT(IFERROR($C61/SUMIFS('Fator R'!$C$13:$C$84,'Fator R'!$B$13:$B$84,$B61),0),"#.##0,00% ;; ""-"" ")</f>
        <v xml:space="preserve"> -  :  - </v>
      </c>
    </row>
    <row r="62" spans="2:4" x14ac:dyDescent="0.3">
      <c r="B62" s="118">
        <f>EDATE(T_DtIni[DATA INICIAL],ROW()-ROW($B$20)-1)</f>
        <v>43983</v>
      </c>
      <c r="C62" s="123"/>
      <c r="D62" s="119" t="str">
        <f>TEXT(IFERROR(SUMIFS('Fator R'!$C$13:$C$84,'Fator R'!$B$13:$B$84,$B62),0),"#.##0,00;; ""-"" ")&amp;" : "&amp;TEXT(IFERROR($C62/SUMIFS('Fator R'!$C$13:$C$84,'Fator R'!$B$13:$B$84,$B62),0),"#.##0,00% ;; ""-"" ")</f>
        <v xml:space="preserve"> -  :  - </v>
      </c>
    </row>
    <row r="63" spans="2:4" x14ac:dyDescent="0.3">
      <c r="B63" s="118">
        <f>EDATE(T_DtIni[DATA INICIAL],ROW()-ROW($B$20)-1)</f>
        <v>44013</v>
      </c>
      <c r="C63" s="123"/>
      <c r="D63" s="119" t="str">
        <f>TEXT(IFERROR(SUMIFS('Fator R'!$C$13:$C$84,'Fator R'!$B$13:$B$84,$B63),0),"#.##0,00;; ""-"" ")&amp;" : "&amp;TEXT(IFERROR($C63/SUMIFS('Fator R'!$C$13:$C$84,'Fator R'!$B$13:$B$84,$B63),0),"#.##0,00% ;; ""-"" ")</f>
        <v xml:space="preserve"> -  :  - </v>
      </c>
    </row>
    <row r="64" spans="2:4" x14ac:dyDescent="0.3">
      <c r="B64" s="118">
        <f>EDATE(T_DtIni[DATA INICIAL],ROW()-ROW($B$20)-1)</f>
        <v>44044</v>
      </c>
      <c r="C64" s="123"/>
      <c r="D64" s="119" t="str">
        <f>TEXT(IFERROR(SUMIFS('Fator R'!$C$13:$C$84,'Fator R'!$B$13:$B$84,$B64),0),"#.##0,00;; ""-"" ")&amp;" : "&amp;TEXT(IFERROR($C64/SUMIFS('Fator R'!$C$13:$C$84,'Fator R'!$B$13:$B$84,$B64),0),"#.##0,00% ;; ""-"" ")</f>
        <v xml:space="preserve"> -  :  - </v>
      </c>
    </row>
    <row r="65" spans="2:4" x14ac:dyDescent="0.3">
      <c r="B65" s="118">
        <f>EDATE(T_DtIni[DATA INICIAL],ROW()-ROW($B$20)-1)</f>
        <v>44075</v>
      </c>
      <c r="C65" s="123"/>
      <c r="D65" s="119" t="str">
        <f>TEXT(IFERROR(SUMIFS('Fator R'!$C$13:$C$84,'Fator R'!$B$13:$B$84,$B65),0),"#.##0,00;; ""-"" ")&amp;" : "&amp;TEXT(IFERROR($C65/SUMIFS('Fator R'!$C$13:$C$84,'Fator R'!$B$13:$B$84,$B65),0),"#.##0,00% ;; ""-"" ")</f>
        <v xml:space="preserve"> -  :  - </v>
      </c>
    </row>
    <row r="66" spans="2:4" x14ac:dyDescent="0.3">
      <c r="B66" s="118">
        <f>EDATE(T_DtIni[DATA INICIAL],ROW()-ROW($B$20)-1)</f>
        <v>44105</v>
      </c>
      <c r="C66" s="123"/>
      <c r="D66" s="119" t="str">
        <f>TEXT(IFERROR(SUMIFS('Fator R'!$C$13:$C$84,'Fator R'!$B$13:$B$84,$B66),0),"#.##0,00;; ""-"" ")&amp;" : "&amp;TEXT(IFERROR($C66/SUMIFS('Fator R'!$C$13:$C$84,'Fator R'!$B$13:$B$84,$B66),0),"#.##0,00% ;; ""-"" ")</f>
        <v xml:space="preserve"> -  :  - </v>
      </c>
    </row>
    <row r="67" spans="2:4" x14ac:dyDescent="0.3">
      <c r="B67" s="118">
        <f>EDATE(T_DtIni[DATA INICIAL],ROW()-ROW($B$20)-1)</f>
        <v>44136</v>
      </c>
      <c r="C67" s="123"/>
      <c r="D67" s="119" t="str">
        <f>TEXT(IFERROR(SUMIFS('Fator R'!$C$13:$C$84,'Fator R'!$B$13:$B$84,$B67),0),"#.##0,00;; ""-"" ")&amp;" : "&amp;TEXT(IFERROR($C67/SUMIFS('Fator R'!$C$13:$C$84,'Fator R'!$B$13:$B$84,$B67),0),"#.##0,00% ;; ""-"" ")</f>
        <v xml:space="preserve"> -  :  - </v>
      </c>
    </row>
    <row r="68" spans="2:4" x14ac:dyDescent="0.3">
      <c r="B68" s="118">
        <f>EDATE(T_DtIni[DATA INICIAL],ROW()-ROW($B$20)-1)</f>
        <v>44166</v>
      </c>
      <c r="C68" s="123"/>
      <c r="D68" s="119" t="str">
        <f>TEXT(IFERROR(SUMIFS('Fator R'!$C$13:$C$84,'Fator R'!$B$13:$B$84,$B68),0),"#.##0,00;; ""-"" ")&amp;" : "&amp;TEXT(IFERROR($C68/SUMIFS('Fator R'!$C$13:$C$84,'Fator R'!$B$13:$B$84,$B68),0),"#.##0,00% ;; ""-"" ")</f>
        <v xml:space="preserve"> -  :  - </v>
      </c>
    </row>
    <row r="69" spans="2:4" x14ac:dyDescent="0.3">
      <c r="B69" s="118">
        <f>EDATE(T_DtIni[DATA INICIAL],ROW()-ROW($B$20)-1)</f>
        <v>44197</v>
      </c>
      <c r="C69" s="123"/>
      <c r="D69" s="119" t="str">
        <f>TEXT(IFERROR(SUMIFS('Fator R'!$C$13:$C$84,'Fator R'!$B$13:$B$84,$B69),0),"#.##0,00;; ""-"" ")&amp;" : "&amp;TEXT(IFERROR($C69/SUMIFS('Fator R'!$C$13:$C$84,'Fator R'!$B$13:$B$84,$B69),0),"#.##0,00% ;; ""-"" ")</f>
        <v xml:space="preserve"> -  :  - </v>
      </c>
    </row>
    <row r="70" spans="2:4" x14ac:dyDescent="0.3">
      <c r="B70" s="118">
        <f>EDATE(T_DtIni[DATA INICIAL],ROW()-ROW($B$20)-1)</f>
        <v>44228</v>
      </c>
      <c r="C70" s="123"/>
      <c r="D70" s="119" t="str">
        <f>TEXT(IFERROR(SUMIFS('Fator R'!$C$13:$C$84,'Fator R'!$B$13:$B$84,$B70),0),"#.##0,00;; ""-"" ")&amp;" : "&amp;TEXT(IFERROR($C70/SUMIFS('Fator R'!$C$13:$C$84,'Fator R'!$B$13:$B$84,$B70),0),"#.##0,00% ;; ""-"" ")</f>
        <v xml:space="preserve"> -  :  - </v>
      </c>
    </row>
    <row r="71" spans="2:4" x14ac:dyDescent="0.3">
      <c r="B71" s="118">
        <f>EDATE(T_DtIni[DATA INICIAL],ROW()-ROW($B$20)-1)</f>
        <v>44256</v>
      </c>
      <c r="C71" s="123"/>
      <c r="D71" s="119" t="str">
        <f>TEXT(IFERROR(SUMIFS('Fator R'!$C$13:$C$84,'Fator R'!$B$13:$B$84,$B71),0),"#.##0,00;; ""-"" ")&amp;" : "&amp;TEXT(IFERROR($C71/SUMIFS('Fator R'!$C$13:$C$84,'Fator R'!$B$13:$B$84,$B71),0),"#.##0,00% ;; ""-"" ")</f>
        <v xml:space="preserve"> -  :  - </v>
      </c>
    </row>
    <row r="72" spans="2:4" x14ac:dyDescent="0.3">
      <c r="B72" s="118">
        <f>EDATE(T_DtIni[DATA INICIAL],ROW()-ROW($B$20)-1)</f>
        <v>44287</v>
      </c>
      <c r="C72" s="123"/>
      <c r="D72" s="119" t="str">
        <f>TEXT(IFERROR(SUMIFS('Fator R'!$C$13:$C$84,'Fator R'!$B$13:$B$84,$B72),0),"#.##0,00;; ""-"" ")&amp;" : "&amp;TEXT(IFERROR($C72/SUMIFS('Fator R'!$C$13:$C$84,'Fator R'!$B$13:$B$84,$B72),0),"#.##0,00% ;; ""-"" ")</f>
        <v xml:space="preserve"> -  :  - </v>
      </c>
    </row>
    <row r="73" spans="2:4" x14ac:dyDescent="0.3">
      <c r="B73" s="118">
        <f>EDATE(T_DtIni[DATA INICIAL],ROW()-ROW($B$20)-1)</f>
        <v>44317</v>
      </c>
      <c r="C73" s="123"/>
      <c r="D73" s="119" t="str">
        <f>TEXT(IFERROR(SUMIFS('Fator R'!$C$13:$C$84,'Fator R'!$B$13:$B$84,$B73),0),"#.##0,00;; ""-"" ")&amp;" : "&amp;TEXT(IFERROR($C73/SUMIFS('Fator R'!$C$13:$C$84,'Fator R'!$B$13:$B$84,$B73),0),"#.##0,00% ;; ""-"" ")</f>
        <v xml:space="preserve"> -  :  - </v>
      </c>
    </row>
    <row r="74" spans="2:4" x14ac:dyDescent="0.3">
      <c r="B74" s="118">
        <f>EDATE(T_DtIni[DATA INICIAL],ROW()-ROW($B$20)-1)</f>
        <v>44348</v>
      </c>
      <c r="C74" s="123"/>
      <c r="D74" s="119" t="str">
        <f>TEXT(IFERROR(SUMIFS('Fator R'!$C$13:$C$84,'Fator R'!$B$13:$B$84,$B74),0),"#.##0,00;; ""-"" ")&amp;" : "&amp;TEXT(IFERROR($C74/SUMIFS('Fator R'!$C$13:$C$84,'Fator R'!$B$13:$B$84,$B74),0),"#.##0,00% ;; ""-"" ")</f>
        <v xml:space="preserve"> -  :  - </v>
      </c>
    </row>
    <row r="75" spans="2:4" x14ac:dyDescent="0.3">
      <c r="B75" s="118">
        <f>EDATE(T_DtIni[DATA INICIAL],ROW()-ROW($B$20)-1)</f>
        <v>44378</v>
      </c>
      <c r="C75" s="123"/>
      <c r="D75" s="119" t="str">
        <f>TEXT(IFERROR(SUMIFS('Fator R'!$C$13:$C$84,'Fator R'!$B$13:$B$84,$B75),0),"#.##0,00;; ""-"" ")&amp;" : "&amp;TEXT(IFERROR($C75/SUMIFS('Fator R'!$C$13:$C$84,'Fator R'!$B$13:$B$84,$B75),0),"#.##0,00% ;; ""-"" ")</f>
        <v xml:space="preserve"> -  :  - </v>
      </c>
    </row>
    <row r="76" spans="2:4" x14ac:dyDescent="0.3">
      <c r="B76" s="118">
        <f>EDATE(T_DtIni[DATA INICIAL],ROW()-ROW($B$20)-1)</f>
        <v>44409</v>
      </c>
      <c r="C76" s="123"/>
      <c r="D76" s="119" t="str">
        <f>TEXT(IFERROR(SUMIFS('Fator R'!$C$13:$C$84,'Fator R'!$B$13:$B$84,$B76),0),"#.##0,00;; ""-"" ")&amp;" : "&amp;TEXT(IFERROR($C76/SUMIFS('Fator R'!$C$13:$C$84,'Fator R'!$B$13:$B$84,$B76),0),"#.##0,00% ;; ""-"" ")</f>
        <v xml:space="preserve"> -  :  - </v>
      </c>
    </row>
    <row r="77" spans="2:4" x14ac:dyDescent="0.3">
      <c r="B77" s="118">
        <f>EDATE(T_DtIni[DATA INICIAL],ROW()-ROW($B$20)-1)</f>
        <v>44440</v>
      </c>
      <c r="C77" s="123"/>
      <c r="D77" s="119" t="str">
        <f>TEXT(IFERROR(SUMIFS('Fator R'!$C$13:$C$84,'Fator R'!$B$13:$B$84,$B77),0),"#.##0,00;; ""-"" ")&amp;" : "&amp;TEXT(IFERROR($C77/SUMIFS('Fator R'!$C$13:$C$84,'Fator R'!$B$13:$B$84,$B77),0),"#.##0,00% ;; ""-"" ")</f>
        <v xml:space="preserve"> -  :  - </v>
      </c>
    </row>
    <row r="78" spans="2:4" x14ac:dyDescent="0.3">
      <c r="B78" s="118">
        <f>EDATE(T_DtIni[DATA INICIAL],ROW()-ROW($B$20)-1)</f>
        <v>44470</v>
      </c>
      <c r="C78" s="123"/>
      <c r="D78" s="119" t="str">
        <f>TEXT(IFERROR(SUMIFS('Fator R'!$C$13:$C$84,'Fator R'!$B$13:$B$84,$B78),0),"#.##0,00;; ""-"" ")&amp;" : "&amp;TEXT(IFERROR($C78/SUMIFS('Fator R'!$C$13:$C$84,'Fator R'!$B$13:$B$84,$B78),0),"#.##0,00% ;; ""-"" ")</f>
        <v xml:space="preserve"> -  :  - </v>
      </c>
    </row>
    <row r="79" spans="2:4" x14ac:dyDescent="0.3">
      <c r="B79" s="118">
        <f>EDATE(T_DtIni[DATA INICIAL],ROW()-ROW($B$20)-1)</f>
        <v>44501</v>
      </c>
      <c r="C79" s="123"/>
      <c r="D79" s="119" t="str">
        <f>TEXT(IFERROR(SUMIFS('Fator R'!$C$13:$C$84,'Fator R'!$B$13:$B$84,$B79),0),"#.##0,00;; ""-"" ")&amp;" : "&amp;TEXT(IFERROR($C79/SUMIFS('Fator R'!$C$13:$C$84,'Fator R'!$B$13:$B$84,$B79),0),"#.##0,00% ;; ""-"" ")</f>
        <v xml:space="preserve"> -  :  - </v>
      </c>
    </row>
    <row r="80" spans="2:4" x14ac:dyDescent="0.3">
      <c r="B80" s="118">
        <f>EDATE(T_DtIni[DATA INICIAL],ROW()-ROW($B$20)-1)</f>
        <v>44531</v>
      </c>
      <c r="C80" s="123"/>
      <c r="D80" s="119" t="str">
        <f>TEXT(IFERROR(SUMIFS('Fator R'!$C$13:$C$84,'Fator R'!$B$13:$B$84,$B80),0),"#.##0,00;; ""-"" ")&amp;" : "&amp;TEXT(IFERROR($C80/SUMIFS('Fator R'!$C$13:$C$84,'Fator R'!$B$13:$B$84,$B80),0),"#.##0,00% ;; ""-"" ")</f>
        <v xml:space="preserve"> -  :  - </v>
      </c>
    </row>
    <row r="81" spans="2:4" x14ac:dyDescent="0.3">
      <c r="B81" s="118">
        <f>EDATE(T_DtIni[DATA INICIAL],ROW()-ROW($B$20)-1)</f>
        <v>44562</v>
      </c>
      <c r="C81" s="123"/>
      <c r="D81" s="119" t="str">
        <f>TEXT(IFERROR(SUMIFS('Fator R'!$C$13:$C$84,'Fator R'!$B$13:$B$84,$B81),0),"#.##0,00;; ""-"" ")&amp;" : "&amp;TEXT(IFERROR($C81/SUMIFS('Fator R'!$C$13:$C$84,'Fator R'!$B$13:$B$84,$B81),0),"#.##0,00% ;; ""-"" ")</f>
        <v xml:space="preserve"> -  :  - </v>
      </c>
    </row>
    <row r="82" spans="2:4" x14ac:dyDescent="0.3">
      <c r="B82" s="118">
        <f>EDATE(T_DtIni[DATA INICIAL],ROW()-ROW($B$20)-1)</f>
        <v>44593</v>
      </c>
      <c r="C82" s="123"/>
      <c r="D82" s="119" t="str">
        <f>TEXT(IFERROR(SUMIFS('Fator R'!$C$13:$C$84,'Fator R'!$B$13:$B$84,$B82),0),"#.##0,00;; ""-"" ")&amp;" : "&amp;TEXT(IFERROR($C82/SUMIFS('Fator R'!$C$13:$C$84,'Fator R'!$B$13:$B$84,$B82),0),"#.##0,00% ;; ""-"" ")</f>
        <v xml:space="preserve"> -  :  - </v>
      </c>
    </row>
    <row r="83" spans="2:4" x14ac:dyDescent="0.3">
      <c r="B83" s="118">
        <f>EDATE(T_DtIni[DATA INICIAL],ROW()-ROW($B$20)-1)</f>
        <v>44621</v>
      </c>
      <c r="C83" s="123"/>
      <c r="D83" s="119" t="str">
        <f>TEXT(IFERROR(SUMIFS('Fator R'!$C$13:$C$84,'Fator R'!$B$13:$B$84,$B83),0),"#.##0,00;; ""-"" ")&amp;" : "&amp;TEXT(IFERROR($C83/SUMIFS('Fator R'!$C$13:$C$84,'Fator R'!$B$13:$B$84,$B83),0),"#.##0,00% ;; ""-"" ")</f>
        <v xml:space="preserve"> -  :  - </v>
      </c>
    </row>
    <row r="84" spans="2:4" x14ac:dyDescent="0.3">
      <c r="B84" s="118">
        <f>EDATE(T_DtIni[DATA INICIAL],ROW()-ROW($B$20)-1)</f>
        <v>44652</v>
      </c>
      <c r="C84" s="123"/>
      <c r="D84" s="119" t="str">
        <f>TEXT(IFERROR(SUMIFS('Fator R'!$C$13:$C$84,'Fator R'!$B$13:$B$84,$B84),0),"#.##0,00;; ""-"" ")&amp;" : "&amp;TEXT(IFERROR($C84/SUMIFS('Fator R'!$C$13:$C$84,'Fator R'!$B$13:$B$84,$B84),0),"#.##0,00% ;; ""-"" ")</f>
        <v xml:space="preserve"> -  :  - </v>
      </c>
    </row>
    <row r="85" spans="2:4" x14ac:dyDescent="0.3">
      <c r="B85" s="118">
        <f>EDATE(T_DtIni[DATA INICIAL],ROW()-ROW($B$20)-1)</f>
        <v>44682</v>
      </c>
      <c r="C85" s="123"/>
      <c r="D85" s="119" t="str">
        <f>TEXT(IFERROR(SUMIFS('Fator R'!$C$13:$C$84,'Fator R'!$B$13:$B$84,$B85),0),"#.##0,00;; ""-"" ")&amp;" : "&amp;TEXT(IFERROR($C85/SUMIFS('Fator R'!$C$13:$C$84,'Fator R'!$B$13:$B$84,$B85),0),"#.##0,00% ;; ""-"" ")</f>
        <v xml:space="preserve"> -  :  - </v>
      </c>
    </row>
    <row r="86" spans="2:4" x14ac:dyDescent="0.3">
      <c r="B86" s="118">
        <f>EDATE(T_DtIni[DATA INICIAL],ROW()-ROW($B$20)-1)</f>
        <v>44713</v>
      </c>
      <c r="C86" s="123"/>
      <c r="D86" s="119" t="str">
        <f>TEXT(IFERROR(SUMIFS('Fator R'!$C$13:$C$84,'Fator R'!$B$13:$B$84,$B86),0),"#.##0,00;; ""-"" ")&amp;" : "&amp;TEXT(IFERROR($C86/SUMIFS('Fator R'!$C$13:$C$84,'Fator R'!$B$13:$B$84,$B86),0),"#.##0,00% ;; ""-"" ")</f>
        <v xml:space="preserve"> -  :  - </v>
      </c>
    </row>
    <row r="87" spans="2:4" x14ac:dyDescent="0.3">
      <c r="B87" s="118">
        <f>EDATE(T_DtIni[DATA INICIAL],ROW()-ROW($B$20)-1)</f>
        <v>44743</v>
      </c>
      <c r="C87" s="123"/>
      <c r="D87" s="119" t="str">
        <f>TEXT(IFERROR(SUMIFS('Fator R'!$C$13:$C$84,'Fator R'!$B$13:$B$84,$B87),0),"#.##0,00;; ""-"" ")&amp;" : "&amp;TEXT(IFERROR($C87/SUMIFS('Fator R'!$C$13:$C$84,'Fator R'!$B$13:$B$84,$B87),0),"#.##0,00% ;; ""-"" ")</f>
        <v xml:space="preserve"> -  :  - </v>
      </c>
    </row>
    <row r="88" spans="2:4" x14ac:dyDescent="0.3">
      <c r="B88" s="118">
        <f>EDATE(T_DtIni[DATA INICIAL],ROW()-ROW($B$20)-1)</f>
        <v>44774</v>
      </c>
      <c r="C88" s="123"/>
      <c r="D88" s="119" t="str">
        <f>TEXT(IFERROR(SUMIFS('Fator R'!$C$13:$C$84,'Fator R'!$B$13:$B$84,$B88),0),"#.##0,00;; ""-"" ")&amp;" : "&amp;TEXT(IFERROR($C88/SUMIFS('Fator R'!$C$13:$C$84,'Fator R'!$B$13:$B$84,$B88),0),"#.##0,00% ;; ""-"" ")</f>
        <v xml:space="preserve"> -  :  - </v>
      </c>
    </row>
    <row r="89" spans="2:4" x14ac:dyDescent="0.3">
      <c r="B89" s="118">
        <f>EDATE(T_DtIni[DATA INICIAL],ROW()-ROW($B$20)-1)</f>
        <v>44805</v>
      </c>
      <c r="C89" s="123"/>
      <c r="D89" s="119" t="str">
        <f>TEXT(IFERROR(SUMIFS('Fator R'!$C$13:$C$84,'Fator R'!$B$13:$B$84,$B89),0),"#.##0,00;; ""-"" ")&amp;" : "&amp;TEXT(IFERROR($C89/SUMIFS('Fator R'!$C$13:$C$84,'Fator R'!$B$13:$B$84,$B89),0),"#.##0,00% ;; ""-"" ")</f>
        <v xml:space="preserve"> -  :  - </v>
      </c>
    </row>
    <row r="90" spans="2:4" x14ac:dyDescent="0.3">
      <c r="B90" s="118">
        <f>EDATE(T_DtIni[DATA INICIAL],ROW()-ROW($B$20)-1)</f>
        <v>44835</v>
      </c>
      <c r="C90" s="123"/>
      <c r="D90" s="119" t="str">
        <f>TEXT(IFERROR(SUMIFS('Fator R'!$C$13:$C$84,'Fator R'!$B$13:$B$84,$B90),0),"#.##0,00;; ""-"" ")&amp;" : "&amp;TEXT(IFERROR($C90/SUMIFS('Fator R'!$C$13:$C$84,'Fator R'!$B$13:$B$84,$B90),0),"#.##0,00% ;; ""-"" ")</f>
        <v xml:space="preserve"> -  :  - </v>
      </c>
    </row>
    <row r="91" spans="2:4" x14ac:dyDescent="0.3">
      <c r="B91" s="118">
        <f>EDATE(T_DtIni[DATA INICIAL],ROW()-ROW($B$20)-1)</f>
        <v>44866</v>
      </c>
      <c r="C91" s="123"/>
      <c r="D91" s="119" t="str">
        <f>TEXT(IFERROR(SUMIFS('Fator R'!$C$13:$C$84,'Fator R'!$B$13:$B$84,$B91),0),"#.##0,00;; ""-"" ")&amp;" : "&amp;TEXT(IFERROR($C91/SUMIFS('Fator R'!$C$13:$C$84,'Fator R'!$B$13:$B$84,$B91),0),"#.##0,00% ;; ""-"" ")</f>
        <v xml:space="preserve"> -  :  - </v>
      </c>
    </row>
    <row r="92" spans="2:4" ht="15" thickBot="1" x14ac:dyDescent="0.35">
      <c r="B92" s="120">
        <f>EDATE(T_DtIni[DATA INICIAL],ROW()-ROW($B$20)-1)</f>
        <v>44896</v>
      </c>
      <c r="C92" s="124"/>
      <c r="D92" s="121" t="str">
        <f>TEXT(IFERROR(SUMIFS('Fator R'!$C$13:$C$84,'Fator R'!$B$13:$B$84,$B92),0),"#.##0,00;; ""-"" ")&amp;" : "&amp;TEXT(IFERROR($C92/SUMIFS('Fator R'!$C$13:$C$84,'Fator R'!$B$13:$B$84,$B92),0),"#.##0,00% ;; ""-"" ")</f>
        <v xml:space="preserve"> -  :  - </v>
      </c>
    </row>
  </sheetData>
  <sheetProtection algorithmName="SHA-512" hashValue="yY6xUbEXyTBljjCE92CtfHgbTcGWAL01k7Shiq13/7LbpINSQF4x44R9DWpt7Ch+MT+nWctI/WZsV4Inygz+og==" saltValue="mRs3Zfssg+oKpNveWJvDNA==" spinCount="100000" sheet="1" objects="1" scenarios="1"/>
  <mergeCells count="5">
    <mergeCell ref="B3:N3"/>
    <mergeCell ref="B5:N5"/>
    <mergeCell ref="C7:D7"/>
    <mergeCell ref="C8:D9"/>
    <mergeCell ref="B19:D19"/>
  </mergeCells>
  <conditionalFormatting sqref="M8">
    <cfRule type="cellIs" dxfId="133" priority="12" operator="equal">
      <formula>0.05</formula>
    </cfRule>
  </conditionalFormatting>
  <conditionalFormatting sqref="B5 O5">
    <cfRule type="cellIs" dxfId="132" priority="10" operator="notEqual">
      <formula>""</formula>
    </cfRule>
  </conditionalFormatting>
  <conditionalFormatting sqref="M8:M9 H8">
    <cfRule type="expression" dxfId="131" priority="9">
      <formula>OR(INDIRECT("T_RetISS")=1,INDIRECT("T_Sublimite"))</formula>
    </cfRule>
  </conditionalFormatting>
  <conditionalFormatting sqref="B21:B92 D21:D92">
    <cfRule type="expression" dxfId="130" priority="1">
      <formula>$B21=INDIRECT("T_DtRef")</formula>
    </cfRule>
  </conditionalFormatting>
  <conditionalFormatting sqref="C21:D92">
    <cfRule type="expression" dxfId="129" priority="2">
      <formula>$B21=EDATE(INDIRECT("T_DtRef"),-INDIRECT("T_QtdeMeses"))</formula>
    </cfRule>
    <cfRule type="expression" dxfId="128" priority="3">
      <formula>AND($B21&lt;EDATE(INDIRECT("T_DtRef"),-1),$B21&gt;EDATE(INDIRECT("T_DtRef"),-INDIRECT("T_QtdeMeses")))</formula>
    </cfRule>
    <cfRule type="expression" dxfId="127" priority="4">
      <formula>$B21=EDATE(INDIRECT("T_DtRef"),-1)</formula>
    </cfRule>
  </conditionalFormatting>
  <pageMargins left="0.51181102362204722" right="0.51181102362204722" top="0.78740157480314965" bottom="0.78740157480314965" header="0.31496062992125984" footer="0.31496062992125984"/>
  <pageSetup paperSize="9" scale="58" orientation="landscape" r:id="rId1"/>
  <colBreaks count="1" manualBreakCount="1">
    <brk id="1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Mês Referência">
              <controlPr defaultSize="0" autoLine="0" autoPict="0">
                <anchor>
                  <from>
                    <xdr:col>1</xdr:col>
                    <xdr:colOff>68580</xdr:colOff>
                    <xdr:row>7</xdr:row>
                    <xdr:rowOff>160020</xdr:rowOff>
                  </from>
                  <to>
                    <xdr:col>1</xdr:col>
                    <xdr:colOff>693420</xdr:colOff>
                    <xdr:row>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Drop Down 2">
              <controlPr defaultSize="0" autoLine="0" autoPict="0">
                <anchor moveWithCells="1">
                  <from>
                    <xdr:col>13</xdr:col>
                    <xdr:colOff>449580</xdr:colOff>
                    <xdr:row>7</xdr:row>
                    <xdr:rowOff>53340</xdr:rowOff>
                  </from>
                  <to>
                    <xdr:col>14</xdr:col>
                    <xdr:colOff>266700</xdr:colOff>
                    <xdr:row>8</xdr:row>
                    <xdr:rowOff>53340</xdr:rowOff>
                  </to>
                </anchor>
              </controlPr>
            </control>
          </mc:Choice>
        </mc:AlternateContent>
      </controls>
    </mc:Choice>
  </mc:AlternateContent>
  <tableParts count="7"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88A1CBAB-3A7B-4E05-90FA-E6243594407A}">
            <xm:f>INDIRECT("T_FaixaA4[[#Esta Linha];[FAIXA]]")=SUPORTE!$Q$6</xm:f>
            <x14:dxf>
              <font>
                <b/>
                <i val="0"/>
              </font>
              <fill>
                <patternFill>
                  <bgColor theme="4" tint="0.79998168889431442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</border>
            </x14:dxf>
          </x14:cfRule>
          <xm:sqref>B12:D17 F12:M18</xm:sqref>
        </x14:conditionalFormatting>
        <x14:conditionalFormatting xmlns:xm="http://schemas.microsoft.com/office/excel/2006/main">
          <x14:cfRule type="expression" priority="15" id="{F0B973CD-C201-4BB4-ADC7-5FEB86EAA160}">
            <xm:f>AND(SUPORTE!$Q$6=5,$H$8&gt;INDIRECT("T_AliquotaA4"))</xm:f>
            <x14:dxf>
              <font>
                <strike/>
              </font>
              <fill>
                <patternFill patternType="none">
                  <bgColor auto="1"/>
                </patternFill>
              </fill>
              <border>
                <left style="thin">
                  <color rgb="FF3C88A6"/>
                </left>
                <right style="thin">
                  <color rgb="FF3C88A6"/>
                </right>
                <top style="thin">
                  <color rgb="FF3C88A6"/>
                </top>
                <bottom style="thin">
                  <color rgb="FF3C88A6"/>
                </bottom>
                <vertical/>
                <horizontal/>
              </border>
            </x14:dxf>
          </x14:cfRule>
          <xm:sqref>F16:M16</xm:sqref>
        </x14:conditionalFormatting>
        <x14:conditionalFormatting xmlns:xm="http://schemas.microsoft.com/office/excel/2006/main">
          <x14:cfRule type="expression" priority="20" id="{9A015AAD-0423-4831-BF1D-C7CCE4AA7665}">
            <xm:f>AND(SUPORTE!$Q$6=5,$H$8&gt;INDIRECT("T_AliquotaA4"))</xm:f>
            <x14:dxf>
              <font>
                <b/>
                <i val="0"/>
              </font>
              <fill>
                <patternFill>
                  <bgColor theme="4" tint="0.79998168889431442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m:sqref>F18:M18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00CE-8BF2-4AB2-A1EC-F14C1E686102}">
  <sheetPr codeName="Planilha7">
    <tabColor rgb="FF62A9C6"/>
  </sheetPr>
  <dimension ref="B1:AB92"/>
  <sheetViews>
    <sheetView showGridLines="0" showRowColHeaders="0" zoomScale="85" zoomScaleNormal="85" workbookViewId="0">
      <selection activeCell="C21" sqref="C21"/>
    </sheetView>
  </sheetViews>
  <sheetFormatPr defaultColWidth="9.109375" defaultRowHeight="14.4" x14ac:dyDescent="0.3"/>
  <cols>
    <col min="1" max="1" width="5.6640625" style="27" customWidth="1"/>
    <col min="2" max="2" width="12" style="27" customWidth="1"/>
    <col min="3" max="3" width="15" style="27" bestFit="1" customWidth="1"/>
    <col min="4" max="4" width="21.109375" style="27" customWidth="1"/>
    <col min="5" max="5" width="5.5546875" style="27" customWidth="1"/>
    <col min="6" max="6" width="6.33203125" style="27" customWidth="1"/>
    <col min="7" max="7" width="19.6640625" style="27" customWidth="1"/>
    <col min="8" max="8" width="17.44140625" style="27" customWidth="1"/>
    <col min="9" max="14" width="15.33203125" style="27" customWidth="1"/>
    <col min="15" max="15" width="28.5546875" style="27" customWidth="1"/>
    <col min="16" max="16" width="10.109375" style="27" bestFit="1" customWidth="1"/>
    <col min="17" max="17" width="10.109375" style="27" hidden="1" customWidth="1"/>
    <col min="18" max="20" width="9.109375" style="27" hidden="1" customWidth="1"/>
    <col min="21" max="21" width="9.6640625" style="27" hidden="1" customWidth="1"/>
    <col min="22" max="26" width="9.109375" style="27" hidden="1" customWidth="1"/>
    <col min="27" max="27" width="12.5546875" style="27" hidden="1" customWidth="1"/>
    <col min="28" max="28" width="68.5546875" style="27" hidden="1" customWidth="1"/>
    <col min="29" max="16384" width="9.109375" style="27"/>
  </cols>
  <sheetData>
    <row r="1" spans="2:28" s="26" customFormat="1" ht="40.5" customHeight="1" thickBot="1" x14ac:dyDescent="0.55000000000000004">
      <c r="B1" s="33" t="s">
        <v>47</v>
      </c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Q1" s="86" t="s">
        <v>71</v>
      </c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</row>
    <row r="2" spans="2:28" s="26" customFormat="1" ht="5.25" customHeight="1" thickTop="1" x14ac:dyDescent="0.3">
      <c r="B2" s="37"/>
    </row>
    <row r="3" spans="2:28" s="26" customFormat="1" ht="21" customHeight="1" x14ac:dyDescent="0.3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2:28" s="26" customFormat="1" ht="7.5" customHeight="1" x14ac:dyDescent="0.3">
      <c r="B4" s="37"/>
    </row>
    <row r="5" spans="2:28" s="26" customFormat="1" ht="33" customHeight="1" x14ac:dyDescent="0.3">
      <c r="B5" s="148" t="str">
        <f>CONCATENATE(IF(AA8,AB8&amp;" ",""),IF(AA9,AB9&amp;" ",""),IF(AA10,AB10&amp;" ",""),IF(AA11,AB11&amp;" ",""),IF(AA12,AB12&amp;" ",""))</f>
        <v xml:space="preserve">NÃO SE ESQUEÇA DE PREENCHER A FOLHA DE PAGAMENTO NO FATOR R. 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67"/>
      <c r="P5" s="68"/>
    </row>
    <row r="6" spans="2:28" s="26" customFormat="1" ht="7.5" customHeight="1" thickBot="1" x14ac:dyDescent="0.35">
      <c r="B6" s="37"/>
    </row>
    <row r="7" spans="2:28" ht="30" customHeight="1" thickBot="1" x14ac:dyDescent="0.35">
      <c r="B7" s="38" t="s">
        <v>22</v>
      </c>
      <c r="C7" s="138" t="s">
        <v>85</v>
      </c>
      <c r="D7" s="139"/>
      <c r="F7" s="39" t="s">
        <v>5</v>
      </c>
      <c r="G7" s="40" t="s">
        <v>64</v>
      </c>
      <c r="H7" s="83" t="s">
        <v>79</v>
      </c>
      <c r="I7" s="31" t="s">
        <v>8</v>
      </c>
      <c r="J7" s="31" t="s">
        <v>9</v>
      </c>
      <c r="K7" s="31" t="s">
        <v>10</v>
      </c>
      <c r="L7" s="31" t="s">
        <v>11</v>
      </c>
      <c r="M7" s="31" t="s">
        <v>89</v>
      </c>
      <c r="N7" s="31" t="s">
        <v>13</v>
      </c>
      <c r="Q7" s="31" t="s">
        <v>8</v>
      </c>
      <c r="R7" s="31" t="s">
        <v>9</v>
      </c>
      <c r="S7" s="31" t="s">
        <v>10</v>
      </c>
      <c r="T7" s="31" t="s">
        <v>11</v>
      </c>
      <c r="U7" s="31" t="s">
        <v>89</v>
      </c>
      <c r="V7" s="31" t="s">
        <v>13</v>
      </c>
      <c r="W7" s="31" t="s">
        <v>27</v>
      </c>
      <c r="Y7" s="27" t="s">
        <v>78</v>
      </c>
      <c r="AA7" s="27" t="s">
        <v>43</v>
      </c>
      <c r="AB7" s="27" t="s">
        <v>42</v>
      </c>
    </row>
    <row r="8" spans="2:28" ht="22.5" customHeight="1" thickBot="1" x14ac:dyDescent="0.35">
      <c r="B8" s="41"/>
      <c r="C8" s="140">
        <f>SUPORTE!$Q$4</f>
        <v>0</v>
      </c>
      <c r="D8" s="141"/>
      <c r="F8" s="42">
        <f>SUPORTE!$Q$6</f>
        <v>1</v>
      </c>
      <c r="G8" s="43">
        <f>IFERROR(SUMIFS('Anexo V - Serviços'!$C$21:$C$92,'Anexo V - Serviços'!$B$21:$B$92,T_DtRef[DATA REFERENCIA]),0)</f>
        <v>0</v>
      </c>
      <c r="H8" s="79">
        <f>IFERROR(T_AliquotaA5[ALÍQUOTA NOMINAL]-IF(OR(T_RetISS[RETENÇÃO ISS]=1,T_Sublimite[LIMITE 3600K]),IF(AND(T_RetISS[RETENÇÃO ISS]=1,T_DtRef[DATA REFERENCIA]=T_DtIni[DATA INICIAL]),$V$13,$V$9),0),0)</f>
        <v>0</v>
      </c>
      <c r="I8" s="44">
        <f>IFERROR(IF(AND(T_RetISS[RETENÇÃO ISS]=1,T_DtRef[DATA REFERENCIA]=T_DtIni[DATA INICIAL]),Q13,Q8)*IF(OR(T_RetISS[RETENÇÃO ISS]=1,T_Sublimite[LIMITE 3600K]),Q12,1),0)</f>
        <v>0</v>
      </c>
      <c r="J8" s="44">
        <f>IFERROR(IF(AND(T_RetISS[RETENÇÃO ISS]=1,T_DtRef[DATA REFERENCIA]=T_DtIni[DATA INICIAL]),R13,R8)*IF(OR(T_RetISS[RETENÇÃO ISS]=1,T_Sublimite[LIMITE 3600K]),R12,1),0)</f>
        <v>0</v>
      </c>
      <c r="K8" s="44">
        <f>IFERROR(IF(AND(T_RetISS[RETENÇÃO ISS]=1,T_DtRef[DATA REFERENCIA]=T_DtIni[DATA INICIAL]),S13,S8)*IF(OR(T_RetISS[RETENÇÃO ISS]=1,T_Sublimite[LIMITE 3600K]),S12,1),0)</f>
        <v>0</v>
      </c>
      <c r="L8" s="44">
        <f>IFERROR(IF(AND(T_RetISS[RETENÇÃO ISS]=1,T_DtRef[DATA REFERENCIA]=T_DtIni[DATA INICIAL]),T13,T8)*IF(OR(T_RetISS[RETENÇÃO ISS]=1,T_Sublimite[LIMITE 3600K]),T12,1),0)</f>
        <v>0</v>
      </c>
      <c r="M8" s="44">
        <f>IFERROR(IF(AND(T_RetISS[RETENÇÃO ISS]=1,T_DtRef[DATA REFERENCIA]=T_DtIni[DATA INICIAL]),U13,U8)*IF(OR(T_RetISS[RETENÇÃO ISS]=1,T_Sublimite[LIMITE 3600K]),U12,1),0)</f>
        <v>0</v>
      </c>
      <c r="N8" s="44">
        <f>IFERROR(IF(AND(T_RetISS[RETENÇÃO ISS]=1,T_DtRef[DATA REFERENCIA]=T_DtIni[DATA INICIAL]),V13,V8)*IF(OR(T_RetISS[RETENÇÃO ISS]=1,T_Sublimite[LIMITE 3600K]),V12,1),0)</f>
        <v>0</v>
      </c>
      <c r="O8" s="26"/>
      <c r="Q8" s="45">
        <f>IFERROR(VLOOKUP(SUPORTE!$Q$6,T_TaxaA5[],MATCH(Q7,T_TaxaA5[#Headers],0),0)*T_AliquotaA5[ALÍQUOTA NOMINAL],0)</f>
        <v>0</v>
      </c>
      <c r="R8" s="45">
        <f>IFERROR(VLOOKUP(SUPORTE!$Q$6,T_TaxaA5[],MATCH(R7,T_TaxaA5[#Headers],0),0)*T_AliquotaA5[ALÍQUOTA NOMINAL],0)</f>
        <v>0</v>
      </c>
      <c r="S8" s="45">
        <f>IFERROR(VLOOKUP(SUPORTE!$Q$6,T_TaxaA5[],MATCH(S7,T_TaxaA5[#Headers],0),0)*T_AliquotaA5[ALÍQUOTA NOMINAL],0)</f>
        <v>0</v>
      </c>
      <c r="T8" s="45">
        <f>IFERROR(VLOOKUP(SUPORTE!$Q$6,T_TaxaA5[],MATCH(T7,T_TaxaA5[#Headers],0),0)*T_AliquotaA5[ALÍQUOTA NOMINAL],0)</f>
        <v>0</v>
      </c>
      <c r="U8" s="45">
        <f>IFERROR(VLOOKUP(SUPORTE!$Q$6,T_TaxaA5[],MATCH(U7,T_TaxaA5[#Headers],0),0)*T_AliquotaA5[ALÍQUOTA NOMINAL],0)</f>
        <v>0</v>
      </c>
      <c r="V8" s="45">
        <f>IFERROR(VLOOKUP(SUPORTE!$Q$6,T_TaxaA5[],MATCH(V7,T_TaxaA5[#Headers],0),0)*T_AliquotaA5[ALÍQUOTA NOMINAL],0)</f>
        <v>0</v>
      </c>
      <c r="W8" s="45">
        <f>SUM(T_A5Suporte[[#This Row],[IRPJ]:[ISS]])</f>
        <v>0</v>
      </c>
      <c r="Y8" s="82">
        <f>IFERROR(($C$8*VLOOKUP(SUPORTE!$Q$6,T_TaxaA5[],MATCH(Y7,T_TaxaA5[#Headers],0),0)-VLOOKUP(SUPORTE!$Q$6,T_TaxaA5[],MATCH("VALOR A DEDUZIR (R$)",T_TaxaA5[#Headers],0),0))/$C$8,0)</f>
        <v>0</v>
      </c>
      <c r="AA8" s="74" t="b">
        <f>T_RetISS[RETENÇÃO ISS]=1</f>
        <v>0</v>
      </c>
      <c r="AB8" s="27" t="s">
        <v>77</v>
      </c>
    </row>
    <row r="9" spans="2:28" ht="22.5" customHeight="1" thickBot="1" x14ac:dyDescent="0.35">
      <c r="B9" s="46"/>
      <c r="C9" s="142"/>
      <c r="D9" s="143"/>
      <c r="F9" s="47" t="s">
        <v>26</v>
      </c>
      <c r="G9" s="48" t="s">
        <v>26</v>
      </c>
      <c r="H9" s="80">
        <f>IFERROR(SUM(T_A5[[#This Row],[IRPJ]:[ISS]]),0)</f>
        <v>0</v>
      </c>
      <c r="I9" s="49">
        <f t="shared" ref="I9:N9" si="0">$G$8*I$8</f>
        <v>0</v>
      </c>
      <c r="J9" s="49">
        <f t="shared" si="0"/>
        <v>0</v>
      </c>
      <c r="K9" s="49">
        <f t="shared" si="0"/>
        <v>0</v>
      </c>
      <c r="L9" s="49">
        <f t="shared" si="0"/>
        <v>0</v>
      </c>
      <c r="M9" s="49">
        <f t="shared" si="0"/>
        <v>0</v>
      </c>
      <c r="N9" s="49">
        <f t="shared" si="0"/>
        <v>0</v>
      </c>
      <c r="O9" s="26"/>
      <c r="Q9" s="45">
        <f t="shared" ref="Q9:V9" si="1">ROUND(Q8,4)</f>
        <v>0</v>
      </c>
      <c r="R9" s="45">
        <f t="shared" si="1"/>
        <v>0</v>
      </c>
      <c r="S9" s="45">
        <f t="shared" si="1"/>
        <v>0</v>
      </c>
      <c r="T9" s="45">
        <f t="shared" si="1"/>
        <v>0</v>
      </c>
      <c r="U9" s="45">
        <f t="shared" si="1"/>
        <v>0</v>
      </c>
      <c r="V9" s="45">
        <f t="shared" si="1"/>
        <v>0</v>
      </c>
      <c r="W9" s="45">
        <f>SUM(T_A5Suporte[[#This Row],[IRPJ]:[ISS]])</f>
        <v>0</v>
      </c>
      <c r="AA9" s="74" t="b">
        <f>SUPORTE!$Q$12&gt;=T_BaseFatorR[FATOR R]</f>
        <v>0</v>
      </c>
      <c r="AB9" s="27" t="str">
        <f>"O MÊS DE REFERÊNCIA SELECIONADO ESTÁ QUALIFICADO PARA O ANEXO III."</f>
        <v>O MÊS DE REFERÊNCIA SELECIONADO ESTÁ QUALIFICADO PARA O ANEXO III.</v>
      </c>
    </row>
    <row r="10" spans="2:28" x14ac:dyDescent="0.3">
      <c r="Q10" s="45"/>
      <c r="R10" s="45"/>
      <c r="S10" s="45"/>
      <c r="T10" s="45"/>
      <c r="U10" s="45"/>
      <c r="V10" s="45"/>
      <c r="W10" s="45"/>
      <c r="AA10" s="74" t="b">
        <f>T_Sublimite[LIMITE 3600K]</f>
        <v>0</v>
      </c>
      <c r="AB10" s="27" t="s">
        <v>83</v>
      </c>
    </row>
    <row r="11" spans="2:28" x14ac:dyDescent="0.3">
      <c r="B11" s="50" t="s">
        <v>5</v>
      </c>
      <c r="C11" s="50" t="s">
        <v>6</v>
      </c>
      <c r="D11" s="50" t="s">
        <v>33</v>
      </c>
      <c r="F11" s="71" t="s">
        <v>5</v>
      </c>
      <c r="G11" s="72" t="s">
        <v>32</v>
      </c>
      <c r="H11" s="71" t="s">
        <v>78</v>
      </c>
      <c r="I11" s="71" t="s">
        <v>8</v>
      </c>
      <c r="J11" s="71" t="s">
        <v>9</v>
      </c>
      <c r="K11" s="71" t="s">
        <v>10</v>
      </c>
      <c r="L11" s="71" t="s">
        <v>11</v>
      </c>
      <c r="M11" s="71" t="s">
        <v>89</v>
      </c>
      <c r="N11" s="71" t="s">
        <v>13</v>
      </c>
      <c r="Q11" s="45"/>
      <c r="R11" s="45"/>
      <c r="S11" s="45"/>
      <c r="T11" s="45"/>
      <c r="U11" s="45"/>
      <c r="V11" s="45"/>
      <c r="W11" s="45"/>
      <c r="AA11" s="74" t="b">
        <f>AND($AA$8,T_DtRef[DATA REFERENCIA]=T_DtIni[DATA INICIAL])</f>
        <v>0</v>
      </c>
      <c r="AB11" s="27" t="s">
        <v>84</v>
      </c>
    </row>
    <row r="12" spans="2:28" x14ac:dyDescent="0.3">
      <c r="B12" s="50">
        <v>1</v>
      </c>
      <c r="C12" s="52">
        <v>0</v>
      </c>
      <c r="D12" s="52">
        <v>180000</v>
      </c>
      <c r="F12" s="50">
        <v>1</v>
      </c>
      <c r="G12" s="53">
        <v>0</v>
      </c>
      <c r="H12" s="54">
        <v>0.155</v>
      </c>
      <c r="I12" s="54">
        <v>0.25</v>
      </c>
      <c r="J12" s="54">
        <v>0.15</v>
      </c>
      <c r="K12" s="54">
        <v>0.14099999999999999</v>
      </c>
      <c r="L12" s="54">
        <v>3.0499999999999999E-2</v>
      </c>
      <c r="M12" s="54">
        <v>0.28849999999999998</v>
      </c>
      <c r="N12" s="54">
        <v>0.14000000000000001</v>
      </c>
      <c r="Q12" s="45">
        <v>1</v>
      </c>
      <c r="R12" s="45">
        <v>1</v>
      </c>
      <c r="S12" s="45">
        <v>1</v>
      </c>
      <c r="T12" s="45">
        <v>1</v>
      </c>
      <c r="U12" s="45">
        <v>1</v>
      </c>
      <c r="V12" s="45">
        <v>0</v>
      </c>
      <c r="W12" s="45">
        <f>SUM(T_A5Suporte[[#This Row],[IRPJ]:[ISS]])</f>
        <v>5</v>
      </c>
      <c r="AA12" s="74" t="b">
        <f>SUPORTE!$Q$12&lt;T_BaseFatorR[FATOR R]</f>
        <v>1</v>
      </c>
      <c r="AB12" s="27" t="s">
        <v>63</v>
      </c>
    </row>
    <row r="13" spans="2:28" x14ac:dyDescent="0.3">
      <c r="B13" s="50">
        <v>2</v>
      </c>
      <c r="C13" s="52">
        <v>180000.01</v>
      </c>
      <c r="D13" s="52">
        <v>360000</v>
      </c>
      <c r="F13" s="50">
        <v>2</v>
      </c>
      <c r="G13" s="53">
        <v>4500</v>
      </c>
      <c r="H13" s="54">
        <v>0.18</v>
      </c>
      <c r="I13" s="54">
        <v>0.23</v>
      </c>
      <c r="J13" s="54">
        <v>0.15</v>
      </c>
      <c r="K13" s="54">
        <v>0.14099999999999999</v>
      </c>
      <c r="L13" s="54">
        <v>3.0499999999999999E-2</v>
      </c>
      <c r="M13" s="54">
        <v>0.27850000000000003</v>
      </c>
      <c r="N13" s="54">
        <v>0.17</v>
      </c>
      <c r="Q13" s="45">
        <f>IFERROR(Q8/SUM($Q$8:$U$8)*(T_AliquotaA5[ALÍQUOTA NOMINAL]-T_A5Suporte[[#This Row],[ISS]]),0)</f>
        <v>0</v>
      </c>
      <c r="R13" s="45">
        <f>IFERROR(R8/SUM($Q$8:$U$8)*(T_AliquotaA5[ALÍQUOTA NOMINAL]-T_A5Suporte[[#This Row],[ISS]]),0)</f>
        <v>0</v>
      </c>
      <c r="S13" s="45">
        <f>IFERROR(S8/SUM($Q$8:$U$8)*(T_AliquotaA5[ALÍQUOTA NOMINAL]-T_A5Suporte[[#This Row],[ISS]]),0)</f>
        <v>0</v>
      </c>
      <c r="T13" s="45">
        <f>IFERROR(T8/SUM($Q$8:$U$8)*(T_AliquotaA5[ALÍQUOTA NOMINAL]-T_A5Suporte[[#This Row],[ISS]]),0)</f>
        <v>0</v>
      </c>
      <c r="U13" s="45">
        <f>IFERROR(U8/SUM($Q$8:$U$8)*(T_AliquotaA5[ALÍQUOTA NOMINAL]-T_A5Suporte[[#This Row],[ISS]]),0)</f>
        <v>0</v>
      </c>
      <c r="V13" s="45">
        <f>IF(T_AliquotaA5[ALÍQUOTA NOMINAL]=0,0,2%)</f>
        <v>0</v>
      </c>
      <c r="W13" s="45">
        <f>SUM(T_A5Suporte[[#This Row],[IRPJ]:[ISS]])</f>
        <v>0</v>
      </c>
    </row>
    <row r="14" spans="2:28" x14ac:dyDescent="0.3">
      <c r="B14" s="50">
        <v>3</v>
      </c>
      <c r="C14" s="52">
        <v>360000.01</v>
      </c>
      <c r="D14" s="52">
        <v>720000</v>
      </c>
      <c r="F14" s="50">
        <v>3</v>
      </c>
      <c r="G14" s="53">
        <v>9900</v>
      </c>
      <c r="H14" s="54">
        <v>0.19500000000000001</v>
      </c>
      <c r="I14" s="54">
        <v>0.24</v>
      </c>
      <c r="J14" s="54">
        <v>0.15</v>
      </c>
      <c r="K14" s="54">
        <v>0.1492</v>
      </c>
      <c r="L14" s="54">
        <v>3.2300000000000002E-2</v>
      </c>
      <c r="M14" s="54">
        <v>0.23849999999999999</v>
      </c>
      <c r="N14" s="54">
        <v>0.19</v>
      </c>
    </row>
    <row r="15" spans="2:28" x14ac:dyDescent="0.3">
      <c r="B15" s="50">
        <v>4</v>
      </c>
      <c r="C15" s="52">
        <v>720000.01</v>
      </c>
      <c r="D15" s="52">
        <v>1800000</v>
      </c>
      <c r="F15" s="50">
        <v>4</v>
      </c>
      <c r="G15" s="53">
        <v>17100</v>
      </c>
      <c r="H15" s="54">
        <v>0.20499999999999999</v>
      </c>
      <c r="I15" s="54">
        <v>0.21</v>
      </c>
      <c r="J15" s="54">
        <v>0.15</v>
      </c>
      <c r="K15" s="54">
        <v>0.15740000000000001</v>
      </c>
      <c r="L15" s="54">
        <v>3.4099999999999998E-2</v>
      </c>
      <c r="M15" s="54">
        <v>0.23849999999999999</v>
      </c>
      <c r="N15" s="54">
        <v>0.21</v>
      </c>
    </row>
    <row r="16" spans="2:28" x14ac:dyDescent="0.3">
      <c r="B16" s="50">
        <v>5</v>
      </c>
      <c r="C16" s="52">
        <v>1800000.01</v>
      </c>
      <c r="D16" s="52">
        <v>3600000</v>
      </c>
      <c r="F16" s="50">
        <v>5</v>
      </c>
      <c r="G16" s="53">
        <v>62100</v>
      </c>
      <c r="H16" s="54">
        <v>0.23</v>
      </c>
      <c r="I16" s="54">
        <v>0.23</v>
      </c>
      <c r="J16" s="54">
        <v>0.125</v>
      </c>
      <c r="K16" s="54">
        <v>0.14099999999999999</v>
      </c>
      <c r="L16" s="54">
        <v>3.0499999999999999E-2</v>
      </c>
      <c r="M16" s="54">
        <v>0.23849999999999999</v>
      </c>
      <c r="N16" s="54">
        <v>0.23499999999999999</v>
      </c>
    </row>
    <row r="17" spans="2:14" x14ac:dyDescent="0.3">
      <c r="B17" s="50">
        <v>6</v>
      </c>
      <c r="C17" s="52">
        <v>3600000.01</v>
      </c>
      <c r="D17" s="52">
        <v>4800000</v>
      </c>
      <c r="F17" s="50">
        <v>6</v>
      </c>
      <c r="G17" s="53">
        <v>540000</v>
      </c>
      <c r="H17" s="54">
        <v>0.30499999999999999</v>
      </c>
      <c r="I17" s="54">
        <v>0.35</v>
      </c>
      <c r="J17" s="54">
        <v>0.155</v>
      </c>
      <c r="K17" s="54">
        <v>0.16439999999999999</v>
      </c>
      <c r="L17" s="54">
        <v>3.56E-2</v>
      </c>
      <c r="M17" s="54">
        <v>0.29499999999999998</v>
      </c>
      <c r="N17" s="55">
        <v>0</v>
      </c>
    </row>
    <row r="19" spans="2:14" ht="36.75" customHeight="1" thickBot="1" x14ac:dyDescent="0.35">
      <c r="B19" s="137" t="s">
        <v>72</v>
      </c>
      <c r="C19" s="137"/>
      <c r="D19" s="137"/>
    </row>
    <row r="20" spans="2:14" ht="15" thickBot="1" x14ac:dyDescent="0.35">
      <c r="B20" s="113" t="s">
        <v>0</v>
      </c>
      <c r="C20" s="114" t="s">
        <v>1</v>
      </c>
      <c r="D20" s="115" t="s">
        <v>37</v>
      </c>
      <c r="F20" s="56"/>
      <c r="G20" s="57"/>
      <c r="H20" s="57"/>
      <c r="I20" s="57"/>
      <c r="J20" s="57"/>
      <c r="K20" s="57"/>
      <c r="L20" s="57"/>
      <c r="M20" s="57"/>
      <c r="N20" s="58"/>
    </row>
    <row r="21" spans="2:14" x14ac:dyDescent="0.3">
      <c r="B21" s="116">
        <f>EDATE(T_DtIni[DATA INICIAL],ROW()-ROW($B$20)-1)</f>
        <v>42736</v>
      </c>
      <c r="C21" s="122"/>
      <c r="D21" s="117" t="str">
        <f>TEXT(IFERROR(SUMIFS('Fator R'!$C$13:$C$84,'Fator R'!$B$13:$B$84,$B21),0),"#.##0,00;; ""-"" ")&amp;" : "&amp;TEXT(IFERROR($C21/SUMIFS('Fator R'!$C$13:$C$84,'Fator R'!$B$13:$B$84,$B21),0),"#.##0,00% ;; ""-"" ")</f>
        <v xml:space="preserve"> -  :  - </v>
      </c>
    </row>
    <row r="22" spans="2:14" x14ac:dyDescent="0.3">
      <c r="B22" s="118">
        <f>EDATE(T_DtIni[DATA INICIAL],ROW()-ROW($B$20)-1)</f>
        <v>42767</v>
      </c>
      <c r="C22" s="123"/>
      <c r="D22" s="119" t="str">
        <f>TEXT(IFERROR(SUMIFS('Fator R'!$C$13:$C$84,'Fator R'!$B$13:$B$84,$B22),0),"#.##0,00;; ""-"" ")&amp;" : "&amp;TEXT(IFERROR($C22/SUMIFS('Fator R'!$C$13:$C$84,'Fator R'!$B$13:$B$84,$B22),0),"#.##0,00% ;; ""-"" ")</f>
        <v xml:space="preserve"> -  :  - </v>
      </c>
    </row>
    <row r="23" spans="2:14" x14ac:dyDescent="0.3">
      <c r="B23" s="118">
        <f>EDATE(T_DtIni[DATA INICIAL],ROW()-ROW($B$20)-1)</f>
        <v>42795</v>
      </c>
      <c r="C23" s="123"/>
      <c r="D23" s="119" t="str">
        <f>TEXT(IFERROR(SUMIFS('Fator R'!$C$13:$C$84,'Fator R'!$B$13:$B$84,$B23),0),"#.##0,00;; ""-"" ")&amp;" : "&amp;TEXT(IFERROR($C23/SUMIFS('Fator R'!$C$13:$C$84,'Fator R'!$B$13:$B$84,$B23),0),"#.##0,00% ;; ""-"" ")</f>
        <v xml:space="preserve"> -  :  - </v>
      </c>
    </row>
    <row r="24" spans="2:14" x14ac:dyDescent="0.3">
      <c r="B24" s="118">
        <f>EDATE(T_DtIni[DATA INICIAL],ROW()-ROW($B$20)-1)</f>
        <v>42826</v>
      </c>
      <c r="C24" s="123"/>
      <c r="D24" s="119" t="str">
        <f>TEXT(IFERROR(SUMIFS('Fator R'!$C$13:$C$84,'Fator R'!$B$13:$B$84,$B24),0),"#.##0,00;; ""-"" ")&amp;" : "&amp;TEXT(IFERROR($C24/SUMIFS('Fator R'!$C$13:$C$84,'Fator R'!$B$13:$B$84,$B24),0),"#.##0,00% ;; ""-"" ")</f>
        <v xml:space="preserve"> -  :  - </v>
      </c>
    </row>
    <row r="25" spans="2:14" x14ac:dyDescent="0.3">
      <c r="B25" s="118">
        <f>EDATE(T_DtIni[DATA INICIAL],ROW()-ROW($B$20)-1)</f>
        <v>42856</v>
      </c>
      <c r="C25" s="123"/>
      <c r="D25" s="119" t="str">
        <f>TEXT(IFERROR(SUMIFS('Fator R'!$C$13:$C$84,'Fator R'!$B$13:$B$84,$B25),0),"#.##0,00;; ""-"" ")&amp;" : "&amp;TEXT(IFERROR($C25/SUMIFS('Fator R'!$C$13:$C$84,'Fator R'!$B$13:$B$84,$B25),0),"#.##0,00% ;; ""-"" ")</f>
        <v xml:space="preserve"> -  :  - </v>
      </c>
    </row>
    <row r="26" spans="2:14" x14ac:dyDescent="0.3">
      <c r="B26" s="118">
        <f>EDATE(T_DtIni[DATA INICIAL],ROW()-ROW($B$20)-1)</f>
        <v>42887</v>
      </c>
      <c r="C26" s="123"/>
      <c r="D26" s="119" t="str">
        <f>TEXT(IFERROR(SUMIFS('Fator R'!$C$13:$C$84,'Fator R'!$B$13:$B$84,$B26),0),"#.##0,00;; ""-"" ")&amp;" : "&amp;TEXT(IFERROR($C26/SUMIFS('Fator R'!$C$13:$C$84,'Fator R'!$B$13:$B$84,$B26),0),"#.##0,00% ;; ""-"" ")</f>
        <v xml:space="preserve"> -  :  - </v>
      </c>
    </row>
    <row r="27" spans="2:14" x14ac:dyDescent="0.3">
      <c r="B27" s="118">
        <f>EDATE(T_DtIni[DATA INICIAL],ROW()-ROW($B$20)-1)</f>
        <v>42917</v>
      </c>
      <c r="C27" s="123"/>
      <c r="D27" s="119" t="str">
        <f>TEXT(IFERROR(SUMIFS('Fator R'!$C$13:$C$84,'Fator R'!$B$13:$B$84,$B27),0),"#.##0,00;; ""-"" ")&amp;" : "&amp;TEXT(IFERROR($C27/SUMIFS('Fator R'!$C$13:$C$84,'Fator R'!$B$13:$B$84,$B27),0),"#.##0,00% ;; ""-"" ")</f>
        <v xml:space="preserve"> -  :  - </v>
      </c>
    </row>
    <row r="28" spans="2:14" x14ac:dyDescent="0.3">
      <c r="B28" s="118">
        <f>EDATE(T_DtIni[DATA INICIAL],ROW()-ROW($B$20)-1)</f>
        <v>42948</v>
      </c>
      <c r="C28" s="123"/>
      <c r="D28" s="119" t="str">
        <f>TEXT(IFERROR(SUMIFS('Fator R'!$C$13:$C$84,'Fator R'!$B$13:$B$84,$B28),0),"#.##0,00;; ""-"" ")&amp;" : "&amp;TEXT(IFERROR($C28/SUMIFS('Fator R'!$C$13:$C$84,'Fator R'!$B$13:$B$84,$B28),0),"#.##0,00% ;; ""-"" ")</f>
        <v xml:space="preserve"> -  :  - </v>
      </c>
    </row>
    <row r="29" spans="2:14" x14ac:dyDescent="0.3">
      <c r="B29" s="118">
        <f>EDATE(T_DtIni[DATA INICIAL],ROW()-ROW($B$20)-1)</f>
        <v>42979</v>
      </c>
      <c r="C29" s="123"/>
      <c r="D29" s="119" t="str">
        <f>TEXT(IFERROR(SUMIFS('Fator R'!$C$13:$C$84,'Fator R'!$B$13:$B$84,$B29),0),"#.##0,00;; ""-"" ")&amp;" : "&amp;TEXT(IFERROR($C29/SUMIFS('Fator R'!$C$13:$C$84,'Fator R'!$B$13:$B$84,$B29),0),"#.##0,00% ;; ""-"" ")</f>
        <v xml:space="preserve"> -  :  - </v>
      </c>
    </row>
    <row r="30" spans="2:14" x14ac:dyDescent="0.3">
      <c r="B30" s="118">
        <f>EDATE(T_DtIni[DATA INICIAL],ROW()-ROW($B$20)-1)</f>
        <v>43009</v>
      </c>
      <c r="C30" s="123"/>
      <c r="D30" s="119" t="str">
        <f>TEXT(IFERROR(SUMIFS('Fator R'!$C$13:$C$84,'Fator R'!$B$13:$B$84,$B30),0),"#.##0,00;; ""-"" ")&amp;" : "&amp;TEXT(IFERROR($C30/SUMIFS('Fator R'!$C$13:$C$84,'Fator R'!$B$13:$B$84,$B30),0),"#.##0,00% ;; ""-"" ")</f>
        <v xml:space="preserve"> -  :  - </v>
      </c>
    </row>
    <row r="31" spans="2:14" x14ac:dyDescent="0.3">
      <c r="B31" s="118">
        <f>EDATE(T_DtIni[DATA INICIAL],ROW()-ROW($B$20)-1)</f>
        <v>43040</v>
      </c>
      <c r="C31" s="123"/>
      <c r="D31" s="119" t="str">
        <f>TEXT(IFERROR(SUMIFS('Fator R'!$C$13:$C$84,'Fator R'!$B$13:$B$84,$B31),0),"#.##0,00;; ""-"" ")&amp;" : "&amp;TEXT(IFERROR($C31/SUMIFS('Fator R'!$C$13:$C$84,'Fator R'!$B$13:$B$84,$B31),0),"#.##0,00% ;; ""-"" ")</f>
        <v xml:space="preserve"> -  :  - </v>
      </c>
    </row>
    <row r="32" spans="2:14" x14ac:dyDescent="0.3">
      <c r="B32" s="118">
        <f>EDATE(T_DtIni[DATA INICIAL],ROW()-ROW($B$20)-1)</f>
        <v>43070</v>
      </c>
      <c r="C32" s="123"/>
      <c r="D32" s="119" t="str">
        <f>TEXT(IFERROR(SUMIFS('Fator R'!$C$13:$C$84,'Fator R'!$B$13:$B$84,$B32),0),"#.##0,00;; ""-"" ")&amp;" : "&amp;TEXT(IFERROR($C32/SUMIFS('Fator R'!$C$13:$C$84,'Fator R'!$B$13:$B$84,$B32),0),"#.##0,00% ;; ""-"" ")</f>
        <v xml:space="preserve"> -  :  - </v>
      </c>
    </row>
    <row r="33" spans="2:4" x14ac:dyDescent="0.3">
      <c r="B33" s="118">
        <f>EDATE(T_DtIni[DATA INICIAL],ROW()-ROW($B$20)-1)</f>
        <v>43101</v>
      </c>
      <c r="C33" s="123"/>
      <c r="D33" s="119" t="str">
        <f>TEXT(IFERROR(SUMIFS('Fator R'!$C$13:$C$84,'Fator R'!$B$13:$B$84,$B33),0),"#.##0,00;; ""-"" ")&amp;" : "&amp;TEXT(IFERROR($C33/SUMIFS('Fator R'!$C$13:$C$84,'Fator R'!$B$13:$B$84,$B33),0),"#.##0,00% ;; ""-"" ")</f>
        <v xml:space="preserve"> -  :  - </v>
      </c>
    </row>
    <row r="34" spans="2:4" x14ac:dyDescent="0.3">
      <c r="B34" s="118">
        <f>EDATE(T_DtIni[DATA INICIAL],ROW()-ROW($B$20)-1)</f>
        <v>43132</v>
      </c>
      <c r="C34" s="123"/>
      <c r="D34" s="119" t="str">
        <f>TEXT(IFERROR(SUMIFS('Fator R'!$C$13:$C$84,'Fator R'!$B$13:$B$84,$B34),0),"#.##0,00;; ""-"" ")&amp;" : "&amp;TEXT(IFERROR($C34/SUMIFS('Fator R'!$C$13:$C$84,'Fator R'!$B$13:$B$84,$B34),0),"#.##0,00% ;; ""-"" ")</f>
        <v xml:space="preserve"> -  :  - </v>
      </c>
    </row>
    <row r="35" spans="2:4" x14ac:dyDescent="0.3">
      <c r="B35" s="118">
        <f>EDATE(T_DtIni[DATA INICIAL],ROW()-ROW($B$20)-1)</f>
        <v>43160</v>
      </c>
      <c r="C35" s="123"/>
      <c r="D35" s="119" t="str">
        <f>TEXT(IFERROR(SUMIFS('Fator R'!$C$13:$C$84,'Fator R'!$B$13:$B$84,$B35),0),"#.##0,00;; ""-"" ")&amp;" : "&amp;TEXT(IFERROR($C35/SUMIFS('Fator R'!$C$13:$C$84,'Fator R'!$B$13:$B$84,$B35),0),"#.##0,00% ;; ""-"" ")</f>
        <v xml:space="preserve"> -  :  - </v>
      </c>
    </row>
    <row r="36" spans="2:4" x14ac:dyDescent="0.3">
      <c r="B36" s="118">
        <f>EDATE(T_DtIni[DATA INICIAL],ROW()-ROW($B$20)-1)</f>
        <v>43191</v>
      </c>
      <c r="C36" s="123"/>
      <c r="D36" s="119" t="str">
        <f>TEXT(IFERROR(SUMIFS('Fator R'!$C$13:$C$84,'Fator R'!$B$13:$B$84,$B36),0),"#.##0,00;; ""-"" ")&amp;" : "&amp;TEXT(IFERROR($C36/SUMIFS('Fator R'!$C$13:$C$84,'Fator R'!$B$13:$B$84,$B36),0),"#.##0,00% ;; ""-"" ")</f>
        <v xml:space="preserve"> -  :  - </v>
      </c>
    </row>
    <row r="37" spans="2:4" x14ac:dyDescent="0.3">
      <c r="B37" s="118">
        <f>EDATE(T_DtIni[DATA INICIAL],ROW()-ROW($B$20)-1)</f>
        <v>43221</v>
      </c>
      <c r="C37" s="123"/>
      <c r="D37" s="119" t="str">
        <f>TEXT(IFERROR(SUMIFS('Fator R'!$C$13:$C$84,'Fator R'!$B$13:$B$84,$B37),0),"#.##0,00;; ""-"" ")&amp;" : "&amp;TEXT(IFERROR($C37/SUMIFS('Fator R'!$C$13:$C$84,'Fator R'!$B$13:$B$84,$B37),0),"#.##0,00% ;; ""-"" ")</f>
        <v xml:space="preserve"> -  :  - </v>
      </c>
    </row>
    <row r="38" spans="2:4" x14ac:dyDescent="0.3">
      <c r="B38" s="118">
        <f>EDATE(T_DtIni[DATA INICIAL],ROW()-ROW($B$20)-1)</f>
        <v>43252</v>
      </c>
      <c r="C38" s="123"/>
      <c r="D38" s="119" t="str">
        <f>TEXT(IFERROR(SUMIFS('Fator R'!$C$13:$C$84,'Fator R'!$B$13:$B$84,$B38),0),"#.##0,00;; ""-"" ")&amp;" : "&amp;TEXT(IFERROR($C38/SUMIFS('Fator R'!$C$13:$C$84,'Fator R'!$B$13:$B$84,$B38),0),"#.##0,00% ;; ""-"" ")</f>
        <v xml:space="preserve"> -  :  - </v>
      </c>
    </row>
    <row r="39" spans="2:4" x14ac:dyDescent="0.3">
      <c r="B39" s="118">
        <f>EDATE(T_DtIni[DATA INICIAL],ROW()-ROW($B$20)-1)</f>
        <v>43282</v>
      </c>
      <c r="C39" s="123"/>
      <c r="D39" s="119" t="str">
        <f>TEXT(IFERROR(SUMIFS('Fator R'!$C$13:$C$84,'Fator R'!$B$13:$B$84,$B39),0),"#.##0,00;; ""-"" ")&amp;" : "&amp;TEXT(IFERROR($C39/SUMIFS('Fator R'!$C$13:$C$84,'Fator R'!$B$13:$B$84,$B39),0),"#.##0,00% ;; ""-"" ")</f>
        <v xml:space="preserve"> -  :  - </v>
      </c>
    </row>
    <row r="40" spans="2:4" x14ac:dyDescent="0.3">
      <c r="B40" s="118">
        <f>EDATE(T_DtIni[DATA INICIAL],ROW()-ROW($B$20)-1)</f>
        <v>43313</v>
      </c>
      <c r="C40" s="123"/>
      <c r="D40" s="119" t="str">
        <f>TEXT(IFERROR(SUMIFS('Fator R'!$C$13:$C$84,'Fator R'!$B$13:$B$84,$B40),0),"#.##0,00;; ""-"" ")&amp;" : "&amp;TEXT(IFERROR($C40/SUMIFS('Fator R'!$C$13:$C$84,'Fator R'!$B$13:$B$84,$B40),0),"#.##0,00% ;; ""-"" ")</f>
        <v xml:space="preserve"> -  :  - </v>
      </c>
    </row>
    <row r="41" spans="2:4" x14ac:dyDescent="0.3">
      <c r="B41" s="118">
        <f>EDATE(T_DtIni[DATA INICIAL],ROW()-ROW($B$20)-1)</f>
        <v>43344</v>
      </c>
      <c r="C41" s="123"/>
      <c r="D41" s="119" t="str">
        <f>TEXT(IFERROR(SUMIFS('Fator R'!$C$13:$C$84,'Fator R'!$B$13:$B$84,$B41),0),"#.##0,00;; ""-"" ")&amp;" : "&amp;TEXT(IFERROR($C41/SUMIFS('Fator R'!$C$13:$C$84,'Fator R'!$B$13:$B$84,$B41),0),"#.##0,00% ;; ""-"" ")</f>
        <v xml:space="preserve"> -  :  - </v>
      </c>
    </row>
    <row r="42" spans="2:4" x14ac:dyDescent="0.3">
      <c r="B42" s="118">
        <f>EDATE(T_DtIni[DATA INICIAL],ROW()-ROW($B$20)-1)</f>
        <v>43374</v>
      </c>
      <c r="C42" s="123"/>
      <c r="D42" s="119" t="str">
        <f>TEXT(IFERROR(SUMIFS('Fator R'!$C$13:$C$84,'Fator R'!$B$13:$B$84,$B42),0),"#.##0,00;; ""-"" ")&amp;" : "&amp;TEXT(IFERROR($C42/SUMIFS('Fator R'!$C$13:$C$84,'Fator R'!$B$13:$B$84,$B42),0),"#.##0,00% ;; ""-"" ")</f>
        <v xml:space="preserve"> -  :  - </v>
      </c>
    </row>
    <row r="43" spans="2:4" x14ac:dyDescent="0.3">
      <c r="B43" s="118">
        <f>EDATE(T_DtIni[DATA INICIAL],ROW()-ROW($B$20)-1)</f>
        <v>43405</v>
      </c>
      <c r="C43" s="123"/>
      <c r="D43" s="119" t="str">
        <f>TEXT(IFERROR(SUMIFS('Fator R'!$C$13:$C$84,'Fator R'!$B$13:$B$84,$B43),0),"#.##0,00;; ""-"" ")&amp;" : "&amp;TEXT(IFERROR($C43/SUMIFS('Fator R'!$C$13:$C$84,'Fator R'!$B$13:$B$84,$B43),0),"#.##0,00% ;; ""-"" ")</f>
        <v xml:space="preserve"> -  :  - </v>
      </c>
    </row>
    <row r="44" spans="2:4" x14ac:dyDescent="0.3">
      <c r="B44" s="118">
        <f>EDATE(T_DtIni[DATA INICIAL],ROW()-ROW($B$20)-1)</f>
        <v>43435</v>
      </c>
      <c r="C44" s="123"/>
      <c r="D44" s="119" t="str">
        <f>TEXT(IFERROR(SUMIFS('Fator R'!$C$13:$C$84,'Fator R'!$B$13:$B$84,$B44),0),"#.##0,00;; ""-"" ")&amp;" : "&amp;TEXT(IFERROR($C44/SUMIFS('Fator R'!$C$13:$C$84,'Fator R'!$B$13:$B$84,$B44),0),"#.##0,00% ;; ""-"" ")</f>
        <v xml:space="preserve"> -  :  - </v>
      </c>
    </row>
    <row r="45" spans="2:4" x14ac:dyDescent="0.3">
      <c r="B45" s="118">
        <f>EDATE(T_DtIni[DATA INICIAL],ROW()-ROW($B$20)-1)</f>
        <v>43466</v>
      </c>
      <c r="C45" s="123"/>
      <c r="D45" s="119" t="str">
        <f>TEXT(IFERROR(SUMIFS('Fator R'!$C$13:$C$84,'Fator R'!$B$13:$B$84,$B45),0),"#.##0,00;; ""-"" ")&amp;" : "&amp;TEXT(IFERROR($C45/SUMIFS('Fator R'!$C$13:$C$84,'Fator R'!$B$13:$B$84,$B45),0),"#.##0,00% ;; ""-"" ")</f>
        <v xml:space="preserve"> -  :  - </v>
      </c>
    </row>
    <row r="46" spans="2:4" x14ac:dyDescent="0.3">
      <c r="B46" s="118">
        <f>EDATE(T_DtIni[DATA INICIAL],ROW()-ROW($B$20)-1)</f>
        <v>43497</v>
      </c>
      <c r="C46" s="123"/>
      <c r="D46" s="119" t="str">
        <f>TEXT(IFERROR(SUMIFS('Fator R'!$C$13:$C$84,'Fator R'!$B$13:$B$84,$B46),0),"#.##0,00;; ""-"" ")&amp;" : "&amp;TEXT(IFERROR($C46/SUMIFS('Fator R'!$C$13:$C$84,'Fator R'!$B$13:$B$84,$B46),0),"#.##0,00% ;; ""-"" ")</f>
        <v xml:space="preserve"> -  :  - </v>
      </c>
    </row>
    <row r="47" spans="2:4" x14ac:dyDescent="0.3">
      <c r="B47" s="118">
        <f>EDATE(T_DtIni[DATA INICIAL],ROW()-ROW($B$20)-1)</f>
        <v>43525</v>
      </c>
      <c r="C47" s="123"/>
      <c r="D47" s="119" t="str">
        <f>TEXT(IFERROR(SUMIFS('Fator R'!$C$13:$C$84,'Fator R'!$B$13:$B$84,$B47),0),"#.##0,00;; ""-"" ")&amp;" : "&amp;TEXT(IFERROR($C47/SUMIFS('Fator R'!$C$13:$C$84,'Fator R'!$B$13:$B$84,$B47),0),"#.##0,00% ;; ""-"" ")</f>
        <v xml:space="preserve"> -  :  - </v>
      </c>
    </row>
    <row r="48" spans="2:4" x14ac:dyDescent="0.3">
      <c r="B48" s="118">
        <f>EDATE(T_DtIni[DATA INICIAL],ROW()-ROW($B$20)-1)</f>
        <v>43556</v>
      </c>
      <c r="C48" s="123"/>
      <c r="D48" s="119" t="str">
        <f>TEXT(IFERROR(SUMIFS('Fator R'!$C$13:$C$84,'Fator R'!$B$13:$B$84,$B48),0),"#.##0,00;; ""-"" ")&amp;" : "&amp;TEXT(IFERROR($C48/SUMIFS('Fator R'!$C$13:$C$84,'Fator R'!$B$13:$B$84,$B48),0),"#.##0,00% ;; ""-"" ")</f>
        <v xml:space="preserve"> -  :  - </v>
      </c>
    </row>
    <row r="49" spans="2:4" x14ac:dyDescent="0.3">
      <c r="B49" s="118">
        <f>EDATE(T_DtIni[DATA INICIAL],ROW()-ROW($B$20)-1)</f>
        <v>43586</v>
      </c>
      <c r="C49" s="123"/>
      <c r="D49" s="119" t="str">
        <f>TEXT(IFERROR(SUMIFS('Fator R'!$C$13:$C$84,'Fator R'!$B$13:$B$84,$B49),0),"#.##0,00;; ""-"" ")&amp;" : "&amp;TEXT(IFERROR($C49/SUMIFS('Fator R'!$C$13:$C$84,'Fator R'!$B$13:$B$84,$B49),0),"#.##0,00% ;; ""-"" ")</f>
        <v xml:space="preserve"> -  :  - </v>
      </c>
    </row>
    <row r="50" spans="2:4" x14ac:dyDescent="0.3">
      <c r="B50" s="118">
        <f>EDATE(T_DtIni[DATA INICIAL],ROW()-ROW($B$20)-1)</f>
        <v>43617</v>
      </c>
      <c r="C50" s="123"/>
      <c r="D50" s="119" t="str">
        <f>TEXT(IFERROR(SUMIFS('Fator R'!$C$13:$C$84,'Fator R'!$B$13:$B$84,$B50),0),"#.##0,00;; ""-"" ")&amp;" : "&amp;TEXT(IFERROR($C50/SUMIFS('Fator R'!$C$13:$C$84,'Fator R'!$B$13:$B$84,$B50),0),"#.##0,00% ;; ""-"" ")</f>
        <v xml:space="preserve"> -  :  - </v>
      </c>
    </row>
    <row r="51" spans="2:4" x14ac:dyDescent="0.3">
      <c r="B51" s="118">
        <f>EDATE(T_DtIni[DATA INICIAL],ROW()-ROW($B$20)-1)</f>
        <v>43647</v>
      </c>
      <c r="C51" s="123"/>
      <c r="D51" s="119" t="str">
        <f>TEXT(IFERROR(SUMIFS('Fator R'!$C$13:$C$84,'Fator R'!$B$13:$B$84,$B51),0),"#.##0,00;; ""-"" ")&amp;" : "&amp;TEXT(IFERROR($C51/SUMIFS('Fator R'!$C$13:$C$84,'Fator R'!$B$13:$B$84,$B51),0),"#.##0,00% ;; ""-"" ")</f>
        <v xml:space="preserve"> -  :  - </v>
      </c>
    </row>
    <row r="52" spans="2:4" x14ac:dyDescent="0.3">
      <c r="B52" s="118">
        <f>EDATE(T_DtIni[DATA INICIAL],ROW()-ROW($B$20)-1)</f>
        <v>43678</v>
      </c>
      <c r="C52" s="123"/>
      <c r="D52" s="119" t="str">
        <f>TEXT(IFERROR(SUMIFS('Fator R'!$C$13:$C$84,'Fator R'!$B$13:$B$84,$B52),0),"#.##0,00;; ""-"" ")&amp;" : "&amp;TEXT(IFERROR($C52/SUMIFS('Fator R'!$C$13:$C$84,'Fator R'!$B$13:$B$84,$B52),0),"#.##0,00% ;; ""-"" ")</f>
        <v xml:space="preserve"> -  :  - </v>
      </c>
    </row>
    <row r="53" spans="2:4" x14ac:dyDescent="0.3">
      <c r="B53" s="118">
        <f>EDATE(T_DtIni[DATA INICIAL],ROW()-ROW($B$20)-1)</f>
        <v>43709</v>
      </c>
      <c r="C53" s="123"/>
      <c r="D53" s="119" t="str">
        <f>TEXT(IFERROR(SUMIFS('Fator R'!$C$13:$C$84,'Fator R'!$B$13:$B$84,$B53),0),"#.##0,00;; ""-"" ")&amp;" : "&amp;TEXT(IFERROR($C53/SUMIFS('Fator R'!$C$13:$C$84,'Fator R'!$B$13:$B$84,$B53),0),"#.##0,00% ;; ""-"" ")</f>
        <v xml:space="preserve"> -  :  - </v>
      </c>
    </row>
    <row r="54" spans="2:4" x14ac:dyDescent="0.3">
      <c r="B54" s="118">
        <f>EDATE(T_DtIni[DATA INICIAL],ROW()-ROW($B$20)-1)</f>
        <v>43739</v>
      </c>
      <c r="C54" s="123"/>
      <c r="D54" s="119" t="str">
        <f>TEXT(IFERROR(SUMIFS('Fator R'!$C$13:$C$84,'Fator R'!$B$13:$B$84,$B54),0),"#.##0,00;; ""-"" ")&amp;" : "&amp;TEXT(IFERROR($C54/SUMIFS('Fator R'!$C$13:$C$84,'Fator R'!$B$13:$B$84,$B54),0),"#.##0,00% ;; ""-"" ")</f>
        <v xml:space="preserve"> -  :  - </v>
      </c>
    </row>
    <row r="55" spans="2:4" x14ac:dyDescent="0.3">
      <c r="B55" s="118">
        <f>EDATE(T_DtIni[DATA INICIAL],ROW()-ROW($B$20)-1)</f>
        <v>43770</v>
      </c>
      <c r="C55" s="123"/>
      <c r="D55" s="119" t="str">
        <f>TEXT(IFERROR(SUMIFS('Fator R'!$C$13:$C$84,'Fator R'!$B$13:$B$84,$B55),0),"#.##0,00;; ""-"" ")&amp;" : "&amp;TEXT(IFERROR($C55/SUMIFS('Fator R'!$C$13:$C$84,'Fator R'!$B$13:$B$84,$B55),0),"#.##0,00% ;; ""-"" ")</f>
        <v xml:space="preserve"> -  :  - </v>
      </c>
    </row>
    <row r="56" spans="2:4" x14ac:dyDescent="0.3">
      <c r="B56" s="118">
        <f>EDATE(T_DtIni[DATA INICIAL],ROW()-ROW($B$20)-1)</f>
        <v>43800</v>
      </c>
      <c r="C56" s="123"/>
      <c r="D56" s="119" t="str">
        <f>TEXT(IFERROR(SUMIFS('Fator R'!$C$13:$C$84,'Fator R'!$B$13:$B$84,$B56),0),"#.##0,00;; ""-"" ")&amp;" : "&amp;TEXT(IFERROR($C56/SUMIFS('Fator R'!$C$13:$C$84,'Fator R'!$B$13:$B$84,$B56),0),"#.##0,00% ;; ""-"" ")</f>
        <v xml:space="preserve"> -  :  - </v>
      </c>
    </row>
    <row r="57" spans="2:4" x14ac:dyDescent="0.3">
      <c r="B57" s="118">
        <f>EDATE(T_DtIni[DATA INICIAL],ROW()-ROW($B$20)-1)</f>
        <v>43831</v>
      </c>
      <c r="C57" s="123"/>
      <c r="D57" s="119" t="str">
        <f>TEXT(IFERROR(SUMIFS('Fator R'!$C$13:$C$84,'Fator R'!$B$13:$B$84,$B57),0),"#.##0,00;; ""-"" ")&amp;" : "&amp;TEXT(IFERROR($C57/SUMIFS('Fator R'!$C$13:$C$84,'Fator R'!$B$13:$B$84,$B57),0),"#.##0,00% ;; ""-"" ")</f>
        <v xml:space="preserve"> -  :  - </v>
      </c>
    </row>
    <row r="58" spans="2:4" x14ac:dyDescent="0.3">
      <c r="B58" s="118">
        <f>EDATE(T_DtIni[DATA INICIAL],ROW()-ROW($B$20)-1)</f>
        <v>43862</v>
      </c>
      <c r="C58" s="123"/>
      <c r="D58" s="119" t="str">
        <f>TEXT(IFERROR(SUMIFS('Fator R'!$C$13:$C$84,'Fator R'!$B$13:$B$84,$B58),0),"#.##0,00;; ""-"" ")&amp;" : "&amp;TEXT(IFERROR($C58/SUMIFS('Fator R'!$C$13:$C$84,'Fator R'!$B$13:$B$84,$B58),0),"#.##0,00% ;; ""-"" ")</f>
        <v xml:space="preserve"> -  :  - </v>
      </c>
    </row>
    <row r="59" spans="2:4" x14ac:dyDescent="0.3">
      <c r="B59" s="118">
        <f>EDATE(T_DtIni[DATA INICIAL],ROW()-ROW($B$20)-1)</f>
        <v>43891</v>
      </c>
      <c r="C59" s="123"/>
      <c r="D59" s="119" t="str">
        <f>TEXT(IFERROR(SUMIFS('Fator R'!$C$13:$C$84,'Fator R'!$B$13:$B$84,$B59),0),"#.##0,00;; ""-"" ")&amp;" : "&amp;TEXT(IFERROR($C59/SUMIFS('Fator R'!$C$13:$C$84,'Fator R'!$B$13:$B$84,$B59),0),"#.##0,00% ;; ""-"" ")</f>
        <v xml:space="preserve"> -  :  - </v>
      </c>
    </row>
    <row r="60" spans="2:4" x14ac:dyDescent="0.3">
      <c r="B60" s="118">
        <f>EDATE(T_DtIni[DATA INICIAL],ROW()-ROW($B$20)-1)</f>
        <v>43922</v>
      </c>
      <c r="C60" s="123"/>
      <c r="D60" s="119" t="str">
        <f>TEXT(IFERROR(SUMIFS('Fator R'!$C$13:$C$84,'Fator R'!$B$13:$B$84,$B60),0),"#.##0,00;; ""-"" ")&amp;" : "&amp;TEXT(IFERROR($C60/SUMIFS('Fator R'!$C$13:$C$84,'Fator R'!$B$13:$B$84,$B60),0),"#.##0,00% ;; ""-"" ")</f>
        <v xml:space="preserve"> -  :  - </v>
      </c>
    </row>
    <row r="61" spans="2:4" x14ac:dyDescent="0.3">
      <c r="B61" s="118">
        <f>EDATE(T_DtIni[DATA INICIAL],ROW()-ROW($B$20)-1)</f>
        <v>43952</v>
      </c>
      <c r="C61" s="123"/>
      <c r="D61" s="119" t="str">
        <f>TEXT(IFERROR(SUMIFS('Fator R'!$C$13:$C$84,'Fator R'!$B$13:$B$84,$B61),0),"#.##0,00;; ""-"" ")&amp;" : "&amp;TEXT(IFERROR($C61/SUMIFS('Fator R'!$C$13:$C$84,'Fator R'!$B$13:$B$84,$B61),0),"#.##0,00% ;; ""-"" ")</f>
        <v xml:space="preserve"> -  :  - </v>
      </c>
    </row>
    <row r="62" spans="2:4" x14ac:dyDescent="0.3">
      <c r="B62" s="118">
        <f>EDATE(T_DtIni[DATA INICIAL],ROW()-ROW($B$20)-1)</f>
        <v>43983</v>
      </c>
      <c r="C62" s="123"/>
      <c r="D62" s="119" t="str">
        <f>TEXT(IFERROR(SUMIFS('Fator R'!$C$13:$C$84,'Fator R'!$B$13:$B$84,$B62),0),"#.##0,00;; ""-"" ")&amp;" : "&amp;TEXT(IFERROR($C62/SUMIFS('Fator R'!$C$13:$C$84,'Fator R'!$B$13:$B$84,$B62),0),"#.##0,00% ;; ""-"" ")</f>
        <v xml:space="preserve"> -  :  - </v>
      </c>
    </row>
    <row r="63" spans="2:4" x14ac:dyDescent="0.3">
      <c r="B63" s="118">
        <f>EDATE(T_DtIni[DATA INICIAL],ROW()-ROW($B$20)-1)</f>
        <v>44013</v>
      </c>
      <c r="C63" s="123"/>
      <c r="D63" s="119" t="str">
        <f>TEXT(IFERROR(SUMIFS('Fator R'!$C$13:$C$84,'Fator R'!$B$13:$B$84,$B63),0),"#.##0,00;; ""-"" ")&amp;" : "&amp;TEXT(IFERROR($C63/SUMIFS('Fator R'!$C$13:$C$84,'Fator R'!$B$13:$B$84,$B63),0),"#.##0,00% ;; ""-"" ")</f>
        <v xml:space="preserve"> -  :  - </v>
      </c>
    </row>
    <row r="64" spans="2:4" x14ac:dyDescent="0.3">
      <c r="B64" s="118">
        <f>EDATE(T_DtIni[DATA INICIAL],ROW()-ROW($B$20)-1)</f>
        <v>44044</v>
      </c>
      <c r="C64" s="123"/>
      <c r="D64" s="119" t="str">
        <f>TEXT(IFERROR(SUMIFS('Fator R'!$C$13:$C$84,'Fator R'!$B$13:$B$84,$B64),0),"#.##0,00;; ""-"" ")&amp;" : "&amp;TEXT(IFERROR($C64/SUMIFS('Fator R'!$C$13:$C$84,'Fator R'!$B$13:$B$84,$B64),0),"#.##0,00% ;; ""-"" ")</f>
        <v xml:space="preserve"> -  :  - </v>
      </c>
    </row>
    <row r="65" spans="2:4" x14ac:dyDescent="0.3">
      <c r="B65" s="118">
        <f>EDATE(T_DtIni[DATA INICIAL],ROW()-ROW($B$20)-1)</f>
        <v>44075</v>
      </c>
      <c r="C65" s="123"/>
      <c r="D65" s="119" t="str">
        <f>TEXT(IFERROR(SUMIFS('Fator R'!$C$13:$C$84,'Fator R'!$B$13:$B$84,$B65),0),"#.##0,00;; ""-"" ")&amp;" : "&amp;TEXT(IFERROR($C65/SUMIFS('Fator R'!$C$13:$C$84,'Fator R'!$B$13:$B$84,$B65),0),"#.##0,00% ;; ""-"" ")</f>
        <v xml:space="preserve"> -  :  - </v>
      </c>
    </row>
    <row r="66" spans="2:4" x14ac:dyDescent="0.3">
      <c r="B66" s="118">
        <f>EDATE(T_DtIni[DATA INICIAL],ROW()-ROW($B$20)-1)</f>
        <v>44105</v>
      </c>
      <c r="C66" s="123"/>
      <c r="D66" s="119" t="str">
        <f>TEXT(IFERROR(SUMIFS('Fator R'!$C$13:$C$84,'Fator R'!$B$13:$B$84,$B66),0),"#.##0,00;; ""-"" ")&amp;" : "&amp;TEXT(IFERROR($C66/SUMIFS('Fator R'!$C$13:$C$84,'Fator R'!$B$13:$B$84,$B66),0),"#.##0,00% ;; ""-"" ")</f>
        <v xml:space="preserve"> -  :  - </v>
      </c>
    </row>
    <row r="67" spans="2:4" x14ac:dyDescent="0.3">
      <c r="B67" s="118">
        <f>EDATE(T_DtIni[DATA INICIAL],ROW()-ROW($B$20)-1)</f>
        <v>44136</v>
      </c>
      <c r="C67" s="123"/>
      <c r="D67" s="119" t="str">
        <f>TEXT(IFERROR(SUMIFS('Fator R'!$C$13:$C$84,'Fator R'!$B$13:$B$84,$B67),0),"#.##0,00;; ""-"" ")&amp;" : "&amp;TEXT(IFERROR($C67/SUMIFS('Fator R'!$C$13:$C$84,'Fator R'!$B$13:$B$84,$B67),0),"#.##0,00% ;; ""-"" ")</f>
        <v xml:space="preserve"> -  :  - </v>
      </c>
    </row>
    <row r="68" spans="2:4" x14ac:dyDescent="0.3">
      <c r="B68" s="118">
        <f>EDATE(T_DtIni[DATA INICIAL],ROW()-ROW($B$20)-1)</f>
        <v>44166</v>
      </c>
      <c r="C68" s="123"/>
      <c r="D68" s="119" t="str">
        <f>TEXT(IFERROR(SUMIFS('Fator R'!$C$13:$C$84,'Fator R'!$B$13:$B$84,$B68),0),"#.##0,00;; ""-"" ")&amp;" : "&amp;TEXT(IFERROR($C68/SUMIFS('Fator R'!$C$13:$C$84,'Fator R'!$B$13:$B$84,$B68),0),"#.##0,00% ;; ""-"" ")</f>
        <v xml:space="preserve"> -  :  - </v>
      </c>
    </row>
    <row r="69" spans="2:4" x14ac:dyDescent="0.3">
      <c r="B69" s="118">
        <f>EDATE(T_DtIni[DATA INICIAL],ROW()-ROW($B$20)-1)</f>
        <v>44197</v>
      </c>
      <c r="C69" s="123"/>
      <c r="D69" s="119" t="str">
        <f>TEXT(IFERROR(SUMIFS('Fator R'!$C$13:$C$84,'Fator R'!$B$13:$B$84,$B69),0),"#.##0,00;; ""-"" ")&amp;" : "&amp;TEXT(IFERROR($C69/SUMIFS('Fator R'!$C$13:$C$84,'Fator R'!$B$13:$B$84,$B69),0),"#.##0,00% ;; ""-"" ")</f>
        <v xml:space="preserve"> -  :  - </v>
      </c>
    </row>
    <row r="70" spans="2:4" x14ac:dyDescent="0.3">
      <c r="B70" s="118">
        <f>EDATE(T_DtIni[DATA INICIAL],ROW()-ROW($B$20)-1)</f>
        <v>44228</v>
      </c>
      <c r="C70" s="123"/>
      <c r="D70" s="119" t="str">
        <f>TEXT(IFERROR(SUMIFS('Fator R'!$C$13:$C$84,'Fator R'!$B$13:$B$84,$B70),0),"#.##0,00;; ""-"" ")&amp;" : "&amp;TEXT(IFERROR($C70/SUMIFS('Fator R'!$C$13:$C$84,'Fator R'!$B$13:$B$84,$B70),0),"#.##0,00% ;; ""-"" ")</f>
        <v xml:space="preserve"> -  :  - </v>
      </c>
    </row>
    <row r="71" spans="2:4" x14ac:dyDescent="0.3">
      <c r="B71" s="118">
        <f>EDATE(T_DtIni[DATA INICIAL],ROW()-ROW($B$20)-1)</f>
        <v>44256</v>
      </c>
      <c r="C71" s="123"/>
      <c r="D71" s="119" t="str">
        <f>TEXT(IFERROR(SUMIFS('Fator R'!$C$13:$C$84,'Fator R'!$B$13:$B$84,$B71),0),"#.##0,00;; ""-"" ")&amp;" : "&amp;TEXT(IFERROR($C71/SUMIFS('Fator R'!$C$13:$C$84,'Fator R'!$B$13:$B$84,$B71),0),"#.##0,00% ;; ""-"" ")</f>
        <v xml:space="preserve"> -  :  - </v>
      </c>
    </row>
    <row r="72" spans="2:4" x14ac:dyDescent="0.3">
      <c r="B72" s="118">
        <f>EDATE(T_DtIni[DATA INICIAL],ROW()-ROW($B$20)-1)</f>
        <v>44287</v>
      </c>
      <c r="C72" s="123"/>
      <c r="D72" s="119" t="str">
        <f>TEXT(IFERROR(SUMIFS('Fator R'!$C$13:$C$84,'Fator R'!$B$13:$B$84,$B72),0),"#.##0,00;; ""-"" ")&amp;" : "&amp;TEXT(IFERROR($C72/SUMIFS('Fator R'!$C$13:$C$84,'Fator R'!$B$13:$B$84,$B72),0),"#.##0,00% ;; ""-"" ")</f>
        <v xml:space="preserve"> -  :  - </v>
      </c>
    </row>
    <row r="73" spans="2:4" x14ac:dyDescent="0.3">
      <c r="B73" s="118">
        <f>EDATE(T_DtIni[DATA INICIAL],ROW()-ROW($B$20)-1)</f>
        <v>44317</v>
      </c>
      <c r="C73" s="123"/>
      <c r="D73" s="119" t="str">
        <f>TEXT(IFERROR(SUMIFS('Fator R'!$C$13:$C$84,'Fator R'!$B$13:$B$84,$B73),0),"#.##0,00;; ""-"" ")&amp;" : "&amp;TEXT(IFERROR($C73/SUMIFS('Fator R'!$C$13:$C$84,'Fator R'!$B$13:$B$84,$B73),0),"#.##0,00% ;; ""-"" ")</f>
        <v xml:space="preserve"> -  :  - </v>
      </c>
    </row>
    <row r="74" spans="2:4" x14ac:dyDescent="0.3">
      <c r="B74" s="118">
        <f>EDATE(T_DtIni[DATA INICIAL],ROW()-ROW($B$20)-1)</f>
        <v>44348</v>
      </c>
      <c r="C74" s="123"/>
      <c r="D74" s="119" t="str">
        <f>TEXT(IFERROR(SUMIFS('Fator R'!$C$13:$C$84,'Fator R'!$B$13:$B$84,$B74),0),"#.##0,00;; ""-"" ")&amp;" : "&amp;TEXT(IFERROR($C74/SUMIFS('Fator R'!$C$13:$C$84,'Fator R'!$B$13:$B$84,$B74),0),"#.##0,00% ;; ""-"" ")</f>
        <v xml:space="preserve"> -  :  - </v>
      </c>
    </row>
    <row r="75" spans="2:4" x14ac:dyDescent="0.3">
      <c r="B75" s="118">
        <f>EDATE(T_DtIni[DATA INICIAL],ROW()-ROW($B$20)-1)</f>
        <v>44378</v>
      </c>
      <c r="C75" s="123"/>
      <c r="D75" s="119" t="str">
        <f>TEXT(IFERROR(SUMIFS('Fator R'!$C$13:$C$84,'Fator R'!$B$13:$B$84,$B75),0),"#.##0,00;; ""-"" ")&amp;" : "&amp;TEXT(IFERROR($C75/SUMIFS('Fator R'!$C$13:$C$84,'Fator R'!$B$13:$B$84,$B75),0),"#.##0,00% ;; ""-"" ")</f>
        <v xml:space="preserve"> -  :  - </v>
      </c>
    </row>
    <row r="76" spans="2:4" x14ac:dyDescent="0.3">
      <c r="B76" s="118">
        <f>EDATE(T_DtIni[DATA INICIAL],ROW()-ROW($B$20)-1)</f>
        <v>44409</v>
      </c>
      <c r="C76" s="123"/>
      <c r="D76" s="119" t="str">
        <f>TEXT(IFERROR(SUMIFS('Fator R'!$C$13:$C$84,'Fator R'!$B$13:$B$84,$B76),0),"#.##0,00;; ""-"" ")&amp;" : "&amp;TEXT(IFERROR($C76/SUMIFS('Fator R'!$C$13:$C$84,'Fator R'!$B$13:$B$84,$B76),0),"#.##0,00% ;; ""-"" ")</f>
        <v xml:space="preserve"> -  :  - </v>
      </c>
    </row>
    <row r="77" spans="2:4" x14ac:dyDescent="0.3">
      <c r="B77" s="118">
        <f>EDATE(T_DtIni[DATA INICIAL],ROW()-ROW($B$20)-1)</f>
        <v>44440</v>
      </c>
      <c r="C77" s="123"/>
      <c r="D77" s="119" t="str">
        <f>TEXT(IFERROR(SUMIFS('Fator R'!$C$13:$C$84,'Fator R'!$B$13:$B$84,$B77),0),"#.##0,00;; ""-"" ")&amp;" : "&amp;TEXT(IFERROR($C77/SUMIFS('Fator R'!$C$13:$C$84,'Fator R'!$B$13:$B$84,$B77),0),"#.##0,00% ;; ""-"" ")</f>
        <v xml:space="preserve"> -  :  - </v>
      </c>
    </row>
    <row r="78" spans="2:4" x14ac:dyDescent="0.3">
      <c r="B78" s="118">
        <f>EDATE(T_DtIni[DATA INICIAL],ROW()-ROW($B$20)-1)</f>
        <v>44470</v>
      </c>
      <c r="C78" s="123"/>
      <c r="D78" s="119" t="str">
        <f>TEXT(IFERROR(SUMIFS('Fator R'!$C$13:$C$84,'Fator R'!$B$13:$B$84,$B78),0),"#.##0,00;; ""-"" ")&amp;" : "&amp;TEXT(IFERROR($C78/SUMIFS('Fator R'!$C$13:$C$84,'Fator R'!$B$13:$B$84,$B78),0),"#.##0,00% ;; ""-"" ")</f>
        <v xml:space="preserve"> -  :  - </v>
      </c>
    </row>
    <row r="79" spans="2:4" x14ac:dyDescent="0.3">
      <c r="B79" s="118">
        <f>EDATE(T_DtIni[DATA INICIAL],ROW()-ROW($B$20)-1)</f>
        <v>44501</v>
      </c>
      <c r="C79" s="123"/>
      <c r="D79" s="119" t="str">
        <f>TEXT(IFERROR(SUMIFS('Fator R'!$C$13:$C$84,'Fator R'!$B$13:$B$84,$B79),0),"#.##0,00;; ""-"" ")&amp;" : "&amp;TEXT(IFERROR($C79/SUMIFS('Fator R'!$C$13:$C$84,'Fator R'!$B$13:$B$84,$B79),0),"#.##0,00% ;; ""-"" ")</f>
        <v xml:space="preserve"> -  :  - </v>
      </c>
    </row>
    <row r="80" spans="2:4" x14ac:dyDescent="0.3">
      <c r="B80" s="118">
        <f>EDATE(T_DtIni[DATA INICIAL],ROW()-ROW($B$20)-1)</f>
        <v>44531</v>
      </c>
      <c r="C80" s="123"/>
      <c r="D80" s="119" t="str">
        <f>TEXT(IFERROR(SUMIFS('Fator R'!$C$13:$C$84,'Fator R'!$B$13:$B$84,$B80),0),"#.##0,00;; ""-"" ")&amp;" : "&amp;TEXT(IFERROR($C80/SUMIFS('Fator R'!$C$13:$C$84,'Fator R'!$B$13:$B$84,$B80),0),"#.##0,00% ;; ""-"" ")</f>
        <v xml:space="preserve"> -  :  - </v>
      </c>
    </row>
    <row r="81" spans="2:4" x14ac:dyDescent="0.3">
      <c r="B81" s="118">
        <f>EDATE(T_DtIni[DATA INICIAL],ROW()-ROW($B$20)-1)</f>
        <v>44562</v>
      </c>
      <c r="C81" s="123"/>
      <c r="D81" s="119" t="str">
        <f>TEXT(IFERROR(SUMIFS('Fator R'!$C$13:$C$84,'Fator R'!$B$13:$B$84,$B81),0),"#.##0,00;; ""-"" ")&amp;" : "&amp;TEXT(IFERROR($C81/SUMIFS('Fator R'!$C$13:$C$84,'Fator R'!$B$13:$B$84,$B81),0),"#.##0,00% ;; ""-"" ")</f>
        <v xml:space="preserve"> -  :  - </v>
      </c>
    </row>
    <row r="82" spans="2:4" x14ac:dyDescent="0.3">
      <c r="B82" s="118">
        <f>EDATE(T_DtIni[DATA INICIAL],ROW()-ROW($B$20)-1)</f>
        <v>44593</v>
      </c>
      <c r="C82" s="123"/>
      <c r="D82" s="119" t="str">
        <f>TEXT(IFERROR(SUMIFS('Fator R'!$C$13:$C$84,'Fator R'!$B$13:$B$84,$B82),0),"#.##0,00;; ""-"" ")&amp;" : "&amp;TEXT(IFERROR($C82/SUMIFS('Fator R'!$C$13:$C$84,'Fator R'!$B$13:$B$84,$B82),0),"#.##0,00% ;; ""-"" ")</f>
        <v xml:space="preserve"> -  :  - </v>
      </c>
    </row>
    <row r="83" spans="2:4" x14ac:dyDescent="0.3">
      <c r="B83" s="118">
        <f>EDATE(T_DtIni[DATA INICIAL],ROW()-ROW($B$20)-1)</f>
        <v>44621</v>
      </c>
      <c r="C83" s="123"/>
      <c r="D83" s="119" t="str">
        <f>TEXT(IFERROR(SUMIFS('Fator R'!$C$13:$C$84,'Fator R'!$B$13:$B$84,$B83),0),"#.##0,00;; ""-"" ")&amp;" : "&amp;TEXT(IFERROR($C83/SUMIFS('Fator R'!$C$13:$C$84,'Fator R'!$B$13:$B$84,$B83),0),"#.##0,00% ;; ""-"" ")</f>
        <v xml:space="preserve"> -  :  - </v>
      </c>
    </row>
    <row r="84" spans="2:4" x14ac:dyDescent="0.3">
      <c r="B84" s="118">
        <f>EDATE(T_DtIni[DATA INICIAL],ROW()-ROW($B$20)-1)</f>
        <v>44652</v>
      </c>
      <c r="C84" s="123"/>
      <c r="D84" s="119" t="str">
        <f>TEXT(IFERROR(SUMIFS('Fator R'!$C$13:$C$84,'Fator R'!$B$13:$B$84,$B84),0),"#.##0,00;; ""-"" ")&amp;" : "&amp;TEXT(IFERROR($C84/SUMIFS('Fator R'!$C$13:$C$84,'Fator R'!$B$13:$B$84,$B84),0),"#.##0,00% ;; ""-"" ")</f>
        <v xml:space="preserve"> -  :  - </v>
      </c>
    </row>
    <row r="85" spans="2:4" x14ac:dyDescent="0.3">
      <c r="B85" s="118">
        <f>EDATE(T_DtIni[DATA INICIAL],ROW()-ROW($B$20)-1)</f>
        <v>44682</v>
      </c>
      <c r="C85" s="123"/>
      <c r="D85" s="119" t="str">
        <f>TEXT(IFERROR(SUMIFS('Fator R'!$C$13:$C$84,'Fator R'!$B$13:$B$84,$B85),0),"#.##0,00;; ""-"" ")&amp;" : "&amp;TEXT(IFERROR($C85/SUMIFS('Fator R'!$C$13:$C$84,'Fator R'!$B$13:$B$84,$B85),0),"#.##0,00% ;; ""-"" ")</f>
        <v xml:space="preserve"> -  :  - </v>
      </c>
    </row>
    <row r="86" spans="2:4" x14ac:dyDescent="0.3">
      <c r="B86" s="118">
        <f>EDATE(T_DtIni[DATA INICIAL],ROW()-ROW($B$20)-1)</f>
        <v>44713</v>
      </c>
      <c r="C86" s="123"/>
      <c r="D86" s="119" t="str">
        <f>TEXT(IFERROR(SUMIFS('Fator R'!$C$13:$C$84,'Fator R'!$B$13:$B$84,$B86),0),"#.##0,00;; ""-"" ")&amp;" : "&amp;TEXT(IFERROR($C86/SUMIFS('Fator R'!$C$13:$C$84,'Fator R'!$B$13:$B$84,$B86),0),"#.##0,00% ;; ""-"" ")</f>
        <v xml:space="preserve"> -  :  - </v>
      </c>
    </row>
    <row r="87" spans="2:4" x14ac:dyDescent="0.3">
      <c r="B87" s="118">
        <f>EDATE(T_DtIni[DATA INICIAL],ROW()-ROW($B$20)-1)</f>
        <v>44743</v>
      </c>
      <c r="C87" s="123"/>
      <c r="D87" s="119" t="str">
        <f>TEXT(IFERROR(SUMIFS('Fator R'!$C$13:$C$84,'Fator R'!$B$13:$B$84,$B87),0),"#.##0,00;; ""-"" ")&amp;" : "&amp;TEXT(IFERROR($C87/SUMIFS('Fator R'!$C$13:$C$84,'Fator R'!$B$13:$B$84,$B87),0),"#.##0,00% ;; ""-"" ")</f>
        <v xml:space="preserve"> -  :  - </v>
      </c>
    </row>
    <row r="88" spans="2:4" x14ac:dyDescent="0.3">
      <c r="B88" s="118">
        <f>EDATE(T_DtIni[DATA INICIAL],ROW()-ROW($B$20)-1)</f>
        <v>44774</v>
      </c>
      <c r="C88" s="123"/>
      <c r="D88" s="119" t="str">
        <f>TEXT(IFERROR(SUMIFS('Fator R'!$C$13:$C$84,'Fator R'!$B$13:$B$84,$B88),0),"#.##0,00;; ""-"" ")&amp;" : "&amp;TEXT(IFERROR($C88/SUMIFS('Fator R'!$C$13:$C$84,'Fator R'!$B$13:$B$84,$B88),0),"#.##0,00% ;; ""-"" ")</f>
        <v xml:space="preserve"> -  :  - </v>
      </c>
    </row>
    <row r="89" spans="2:4" x14ac:dyDescent="0.3">
      <c r="B89" s="118">
        <f>EDATE(T_DtIni[DATA INICIAL],ROW()-ROW($B$20)-1)</f>
        <v>44805</v>
      </c>
      <c r="C89" s="123"/>
      <c r="D89" s="119" t="str">
        <f>TEXT(IFERROR(SUMIFS('Fator R'!$C$13:$C$84,'Fator R'!$B$13:$B$84,$B89),0),"#.##0,00;; ""-"" ")&amp;" : "&amp;TEXT(IFERROR($C89/SUMIFS('Fator R'!$C$13:$C$84,'Fator R'!$B$13:$B$84,$B89),0),"#.##0,00% ;; ""-"" ")</f>
        <v xml:space="preserve"> -  :  - </v>
      </c>
    </row>
    <row r="90" spans="2:4" x14ac:dyDescent="0.3">
      <c r="B90" s="118">
        <f>EDATE(T_DtIni[DATA INICIAL],ROW()-ROW($B$20)-1)</f>
        <v>44835</v>
      </c>
      <c r="C90" s="123"/>
      <c r="D90" s="119" t="str">
        <f>TEXT(IFERROR(SUMIFS('Fator R'!$C$13:$C$84,'Fator R'!$B$13:$B$84,$B90),0),"#.##0,00;; ""-"" ")&amp;" : "&amp;TEXT(IFERROR($C90/SUMIFS('Fator R'!$C$13:$C$84,'Fator R'!$B$13:$B$84,$B90),0),"#.##0,00% ;; ""-"" ")</f>
        <v xml:space="preserve"> -  :  - </v>
      </c>
    </row>
    <row r="91" spans="2:4" x14ac:dyDescent="0.3">
      <c r="B91" s="118">
        <f>EDATE(T_DtIni[DATA INICIAL],ROW()-ROW($B$20)-1)</f>
        <v>44866</v>
      </c>
      <c r="C91" s="123"/>
      <c r="D91" s="119" t="str">
        <f>TEXT(IFERROR(SUMIFS('Fator R'!$C$13:$C$84,'Fator R'!$B$13:$B$84,$B91),0),"#.##0,00;; ""-"" ")&amp;" : "&amp;TEXT(IFERROR($C91/SUMIFS('Fator R'!$C$13:$C$84,'Fator R'!$B$13:$B$84,$B91),0),"#.##0,00% ;; ""-"" ")</f>
        <v xml:space="preserve"> -  :  - </v>
      </c>
    </row>
    <row r="92" spans="2:4" ht="15" thickBot="1" x14ac:dyDescent="0.35">
      <c r="B92" s="120">
        <f>EDATE(T_DtIni[DATA INICIAL],ROW()-ROW($B$20)-1)</f>
        <v>44896</v>
      </c>
      <c r="C92" s="124"/>
      <c r="D92" s="121" t="str">
        <f>TEXT(IFERROR(SUMIFS('Fator R'!$C$13:$C$84,'Fator R'!$B$13:$B$84,$B92),0),"#.##0,00;; ""-"" ")&amp;" : "&amp;TEXT(IFERROR($C92/SUMIFS('Fator R'!$C$13:$C$84,'Fator R'!$B$13:$B$84,$B92),0),"#.##0,00% ;; ""-"" ")</f>
        <v xml:space="preserve"> -  :  - </v>
      </c>
    </row>
  </sheetData>
  <sheetProtection algorithmName="SHA-512" hashValue="o7mBnQQPoVP4RyU9bN2+JopIqSenfFVdvZKqZr67eAC4WNTIZFK3/7muI0bYUNoPl7N5U+eKWWGmOuhbywoeQw==" saltValue="skaK66ZKc7gmnHqU80QE4Q==" spinCount="100000" sheet="1" objects="1" scenarios="1"/>
  <mergeCells count="5">
    <mergeCell ref="B3:N3"/>
    <mergeCell ref="B5:N5"/>
    <mergeCell ref="C7:D7"/>
    <mergeCell ref="C8:D9"/>
    <mergeCell ref="B19:D19"/>
  </mergeCells>
  <conditionalFormatting sqref="B5 O5">
    <cfRule type="cellIs" dxfId="78" priority="10" operator="notEqual">
      <formula>""</formula>
    </cfRule>
  </conditionalFormatting>
  <conditionalFormatting sqref="N8:N9 H8">
    <cfRule type="expression" dxfId="77" priority="9">
      <formula>OR(INDIRECT("T_RetISS")=1,INDIRECT("T_Sublimite"))</formula>
    </cfRule>
  </conditionalFormatting>
  <conditionalFormatting sqref="B21:B92 D21:D92">
    <cfRule type="expression" dxfId="76" priority="1">
      <formula>$B21=INDIRECT("T_DtRef")</formula>
    </cfRule>
  </conditionalFormatting>
  <conditionalFormatting sqref="C21:D92">
    <cfRule type="expression" dxfId="75" priority="2">
      <formula>$B21=EDATE(INDIRECT("T_DtRef"),-INDIRECT("T_QtdeMeses"))</formula>
    </cfRule>
    <cfRule type="expression" dxfId="74" priority="3">
      <formula>AND($B21&lt;EDATE(INDIRECT("T_DtRef"),-1),$B21&gt;EDATE(INDIRECT("T_DtRef"),-INDIRECT("T_QtdeMeses")))</formula>
    </cfRule>
    <cfRule type="expression" dxfId="73" priority="4">
      <formula>$B21=EDATE(INDIRECT("T_DtRef"),-1)</formula>
    </cfRule>
  </conditionalFormatting>
  <pageMargins left="0.51181102362204722" right="0.51181102362204722" top="0.78740157480314965" bottom="0.78740157480314965" header="0.31496062992125984" footer="0.31496062992125984"/>
  <pageSetup paperSize="9"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Mês Referência">
              <controlPr defaultSize="0" autoLine="0" autoPict="0">
                <anchor>
                  <from>
                    <xdr:col>1</xdr:col>
                    <xdr:colOff>68580</xdr:colOff>
                    <xdr:row>7</xdr:row>
                    <xdr:rowOff>160020</xdr:rowOff>
                  </from>
                  <to>
                    <xdr:col>1</xdr:col>
                    <xdr:colOff>693420</xdr:colOff>
                    <xdr:row>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Drop Down 2">
              <controlPr defaultSize="0" autoLine="0" autoPict="0">
                <anchor moveWithCells="1">
                  <from>
                    <xdr:col>14</xdr:col>
                    <xdr:colOff>579120</xdr:colOff>
                    <xdr:row>7</xdr:row>
                    <xdr:rowOff>60960</xdr:rowOff>
                  </from>
                  <to>
                    <xdr:col>14</xdr:col>
                    <xdr:colOff>1424940</xdr:colOff>
                    <xdr:row>8</xdr:row>
                    <xdr:rowOff>60960</xdr:rowOff>
                  </to>
                </anchor>
              </controlPr>
            </control>
          </mc:Choice>
        </mc:AlternateContent>
      </controls>
    </mc:Choice>
  </mc:AlternateContent>
  <tableParts count="6"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A0CA9E92-0916-4BF4-A58F-A855DCECB7D0}">
            <xm:f>INDIRECT("T_FaixaA5[[#Esta Linha];[FAIXA]]")=SUPORTE!$Q$6</xm:f>
            <x14:dxf>
              <font>
                <b/>
                <i val="0"/>
              </font>
              <fill>
                <patternFill>
                  <bgColor theme="4" tint="0.79998168889431442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</border>
            </x14:dxf>
          </x14:cfRule>
          <xm:sqref>B12:D17 F12:N17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5E3EE-7EA5-425D-8A2C-E4D31C12FE5F}">
  <sheetPr codeName="Planilha9">
    <tabColor theme="1"/>
  </sheetPr>
  <dimension ref="B1:Q35"/>
  <sheetViews>
    <sheetView showGridLines="0" showRowColHeaders="0" zoomScaleNormal="100" workbookViewId="0"/>
  </sheetViews>
  <sheetFormatPr defaultRowHeight="14.4" x14ac:dyDescent="0.3"/>
  <cols>
    <col min="1" max="1" width="4.5546875" customWidth="1"/>
    <col min="2" max="2" width="26" bestFit="1" customWidth="1"/>
    <col min="3" max="3" width="4.5546875" customWidth="1"/>
    <col min="4" max="17" width="12.109375" customWidth="1"/>
  </cols>
  <sheetData>
    <row r="1" spans="2:17" ht="15" thickBot="1" x14ac:dyDescent="0.35"/>
    <row r="2" spans="2:17" ht="15" thickBot="1" x14ac:dyDescent="0.35">
      <c r="D2" s="4"/>
      <c r="E2" s="4">
        <f>EDATE(T_DtRef[DATA REFERENCIA],-12)</f>
        <v>42736</v>
      </c>
      <c r="F2" s="4">
        <f t="shared" ref="F2:Q2" si="0">EDATE(E2,1)</f>
        <v>42767</v>
      </c>
      <c r="G2" s="4">
        <f t="shared" si="0"/>
        <v>42795</v>
      </c>
      <c r="H2" s="4">
        <f t="shared" si="0"/>
        <v>42826</v>
      </c>
      <c r="I2" s="4">
        <f t="shared" si="0"/>
        <v>42856</v>
      </c>
      <c r="J2" s="4">
        <f t="shared" si="0"/>
        <v>42887</v>
      </c>
      <c r="K2" s="4">
        <f t="shared" si="0"/>
        <v>42917</v>
      </c>
      <c r="L2" s="4">
        <f t="shared" si="0"/>
        <v>42948</v>
      </c>
      <c r="M2" s="4">
        <f t="shared" si="0"/>
        <v>42979</v>
      </c>
      <c r="N2" s="4">
        <f t="shared" si="0"/>
        <v>43009</v>
      </c>
      <c r="O2" s="4">
        <f t="shared" si="0"/>
        <v>43040</v>
      </c>
      <c r="P2" s="4">
        <f t="shared" si="0"/>
        <v>43070</v>
      </c>
      <c r="Q2" s="4">
        <f t="shared" si="0"/>
        <v>43101</v>
      </c>
    </row>
    <row r="3" spans="2:17" x14ac:dyDescent="0.3">
      <c r="B3" s="1" t="s">
        <v>3</v>
      </c>
      <c r="D3" s="3" t="s">
        <v>18</v>
      </c>
      <c r="E3" s="5">
        <f>SUMIF('Fator R'!$B$13:$B$84,E$2,'Fator R'!$C$13:$C$84)</f>
        <v>0</v>
      </c>
      <c r="F3" s="6">
        <f>SUMIF('Fator R'!$B$13:$B$84,F$2,'Fator R'!$C$13:$C$84)</f>
        <v>0</v>
      </c>
      <c r="G3" s="6">
        <f>SUMIF('Fator R'!$B$13:$B$84,G$2,'Fator R'!$C$13:$C$84)</f>
        <v>0</v>
      </c>
      <c r="H3" s="6">
        <f>SUMIF('Fator R'!$B$13:$B$84,H$2,'Fator R'!$C$13:$C$84)</f>
        <v>0</v>
      </c>
      <c r="I3" s="7">
        <f>SUMIF('Fator R'!$B$13:$B$84,I$2,'Fator R'!$C$13:$C$84)</f>
        <v>0</v>
      </c>
      <c r="J3" s="6">
        <f>SUMIF('Fator R'!$B$13:$B$84,J$2,'Fator R'!$C$13:$C$84)</f>
        <v>0</v>
      </c>
      <c r="K3" s="6">
        <f>SUMIF('Fator R'!$B$13:$B$84,K$2,'Fator R'!$C$13:$C$84)</f>
        <v>0</v>
      </c>
      <c r="L3" s="6">
        <f>SUMIF('Fator R'!$B$13:$B$84,L$2,'Fator R'!$C$13:$C$84)</f>
        <v>0</v>
      </c>
      <c r="M3" s="6">
        <f>SUMIF('Fator R'!$B$13:$B$84,M$2,'Fator R'!$C$13:$C$84)</f>
        <v>0</v>
      </c>
      <c r="N3" s="6">
        <f>SUMIF('Fator R'!$B$13:$B$84,N$2,'Fator R'!$C$13:$C$84)</f>
        <v>0</v>
      </c>
      <c r="O3" s="8">
        <f>SUMIF('Fator R'!$B$13:$B$84,O$2,'Fator R'!$C$13:$C$84)</f>
        <v>0</v>
      </c>
      <c r="P3" s="8">
        <f>SUMIF('Fator R'!$B$13:$B$84,P$2,'Fator R'!$C$13:$C$84)</f>
        <v>0</v>
      </c>
      <c r="Q3" s="8">
        <f>SUMIF('Fator R'!$B$13:$B$84,Q$2,'Fator R'!$C$13:$C$84)</f>
        <v>0</v>
      </c>
    </row>
    <row r="4" spans="2:17" x14ac:dyDescent="0.3">
      <c r="B4" s="2">
        <f>DATE(INDEX(T_Anos[ANOS],T_AnoIni[ANO INICIAL ESCOLHIDO]),T_MesIni[MÊS INICIAL ESCOLHIDO],1)</f>
        <v>42736</v>
      </c>
      <c r="D4" s="3" t="s">
        <v>24</v>
      </c>
      <c r="E4" s="5">
        <f>IF(AND(T_QtdeMeses[MESES]&lt;12,E$5=0),E$3/T_QtdeMeses[MESES]*12,E$5)</f>
        <v>0</v>
      </c>
      <c r="F4" s="5">
        <f>IF(AND(T_QtdeMeses[MESES]&lt;12,F$5=0),F$3/T_QtdeMeses[MESES]*12,F$5)</f>
        <v>0</v>
      </c>
      <c r="G4" s="5">
        <f>IF(AND(T_QtdeMeses[MESES]&lt;12,G$5=0),G$3/T_QtdeMeses[MESES]*12,G$5)</f>
        <v>0</v>
      </c>
      <c r="H4" s="5">
        <f>IF(AND(T_QtdeMeses[MESES]&lt;12,H$5=0),H$3/T_QtdeMeses[MESES]*12,H$5)</f>
        <v>0</v>
      </c>
      <c r="I4" s="5">
        <f>IF(AND(T_QtdeMeses[MESES]&lt;12,I$5=0),I$3/T_QtdeMeses[MESES]*12,I$5)</f>
        <v>0</v>
      </c>
      <c r="J4" s="5">
        <f>IF(AND(T_QtdeMeses[MESES]&lt;12,J$5=0),J$3/T_QtdeMeses[MESES]*12,J$5)</f>
        <v>0</v>
      </c>
      <c r="K4" s="5">
        <f>IF(AND(T_QtdeMeses[MESES]&lt;12,K$5=0),K$3/T_QtdeMeses[MESES]*12,K$5)</f>
        <v>0</v>
      </c>
      <c r="L4" s="5">
        <f>IF(AND(T_QtdeMeses[MESES]&lt;12,L$5=0),L$3/T_QtdeMeses[MESES]*12,L$5)</f>
        <v>0</v>
      </c>
      <c r="M4" s="5">
        <f>IF(AND(T_QtdeMeses[MESES]&lt;12,M$5=0),M$3/T_QtdeMeses[MESES]*12,M$5)</f>
        <v>0</v>
      </c>
      <c r="N4" s="5">
        <f>IF(AND(T_QtdeMeses[MESES]&lt;12,N$5=0),N$3/T_QtdeMeses[MESES]*12,N$5)</f>
        <v>0</v>
      </c>
      <c r="O4" s="5">
        <f>IF(AND(T_QtdeMeses[MESES]&lt;12,O$5=0),O$3/T_QtdeMeses[MESES]*12,O$5)</f>
        <v>0</v>
      </c>
      <c r="P4" s="5">
        <f>IF(AND(T_QtdeMeses[MESES]&lt;12,P$5=0),P$3/T_QtdeMeses[MESES]*12,P$5)</f>
        <v>0</v>
      </c>
      <c r="Q4" s="5">
        <f>IF(AND(T_QtdeMeses[MESES]&lt;12,Q$5=0),Q$3/T_QtdeMeses[MESES]*12,Q$5)</f>
        <v>0</v>
      </c>
    </row>
    <row r="5" spans="2:17" x14ac:dyDescent="0.3">
      <c r="B5" s="2"/>
      <c r="D5" s="3" t="s">
        <v>81</v>
      </c>
      <c r="E5" s="5">
        <f>IFERROR(SUMIFS('Fator R'!$C$13:$C$84,'Fator R'!$B$13:$B$84,IF(MATCH(E$2,'Fator R'!$B$13:$B$84,0)=1,"=","&lt;")&amp;E$2,'Anexo I - Comércio'!$B$21:$B$92,"&gt;="&amp;IF(MATCH(E$2,'Fator R'!$B$13:$B$84,0)&lt;12,T_DtIni[DATA INICIAL],EDATE(E$2,-12)))/(IF(MATCH(E$2,'Fator R'!$B$13:$B$84,0)&gt;12,12,MATCH(E$2,'Fator R'!$B$13:$B$84,0)-(MATCH(E$2,'Fator R'!$B$13:$B$84,0)&lt;&gt;1)))*12,0)</f>
        <v>0</v>
      </c>
      <c r="F5" s="5">
        <f>IFERROR(SUMIFS('Fator R'!$C$13:$C$84,'Fator R'!$B$13:$B$84,IF(MATCH(F$2,'Fator R'!$B$13:$B$84,0)=1,"=","&lt;")&amp;F$2,'Anexo I - Comércio'!$B$21:$B$92,"&gt;="&amp;IF(MATCH(F$2,'Fator R'!$B$13:$B$84,0)&lt;12,T_DtIni[DATA INICIAL],EDATE(F$2,-12)))/(IF(MATCH(F$2,'Fator R'!$B$13:$B$84,0)&gt;12,12,MATCH(F$2,'Fator R'!$B$13:$B$84,0)-(MATCH(F$2,'Fator R'!$B$13:$B$84,0)&lt;&gt;1)))*12,0)</f>
        <v>0</v>
      </c>
      <c r="G5" s="5">
        <f>IFERROR(SUMIFS('Fator R'!$C$13:$C$84,'Fator R'!$B$13:$B$84,IF(MATCH(G$2,'Fator R'!$B$13:$B$84,0)=1,"=","&lt;")&amp;G$2,'Anexo I - Comércio'!$B$21:$B$92,"&gt;="&amp;IF(MATCH(G$2,'Fator R'!$B$13:$B$84,0)&lt;12,T_DtIni[DATA INICIAL],EDATE(G$2,-12)))/(IF(MATCH(G$2,'Fator R'!$B$13:$B$84,0)&gt;12,12,MATCH(G$2,'Fator R'!$B$13:$B$84,0)-(MATCH(G$2,'Fator R'!$B$13:$B$84,0)&lt;&gt;1)))*12,0)</f>
        <v>0</v>
      </c>
      <c r="H5" s="5">
        <f>IFERROR(SUMIFS('Fator R'!$C$13:$C$84,'Fator R'!$B$13:$B$84,IF(MATCH(H$2,'Fator R'!$B$13:$B$84,0)=1,"=","&lt;")&amp;H$2,'Anexo I - Comércio'!$B$21:$B$92,"&gt;="&amp;IF(MATCH(H$2,'Fator R'!$B$13:$B$84,0)&lt;12,T_DtIni[DATA INICIAL],EDATE(H$2,-12)))/(IF(MATCH(H$2,'Fator R'!$B$13:$B$84,0)&gt;12,12,MATCH(H$2,'Fator R'!$B$13:$B$84,0)-(MATCH(H$2,'Fator R'!$B$13:$B$84,0)&lt;&gt;1)))*12,0)</f>
        <v>0</v>
      </c>
      <c r="I5" s="5">
        <f>IFERROR(SUMIFS('Fator R'!$C$13:$C$84,'Fator R'!$B$13:$B$84,IF(MATCH(I$2,'Fator R'!$B$13:$B$84,0)=1,"=","&lt;")&amp;I$2,'Anexo I - Comércio'!$B$21:$B$92,"&gt;="&amp;IF(MATCH(I$2,'Fator R'!$B$13:$B$84,0)&lt;12,T_DtIni[DATA INICIAL],EDATE(I$2,-12)))/(IF(MATCH(I$2,'Fator R'!$B$13:$B$84,0)&gt;12,12,MATCH(I$2,'Fator R'!$B$13:$B$84,0)-(MATCH(I$2,'Fator R'!$B$13:$B$84,0)&lt;&gt;1)))*12,0)</f>
        <v>0</v>
      </c>
      <c r="J5" s="5">
        <f>IFERROR(SUMIFS('Fator R'!$C$13:$C$84,'Fator R'!$B$13:$B$84,IF(MATCH(J$2,'Fator R'!$B$13:$B$84,0)=1,"=","&lt;")&amp;J$2,'Anexo I - Comércio'!$B$21:$B$92,"&gt;="&amp;IF(MATCH(J$2,'Fator R'!$B$13:$B$84,0)&lt;12,T_DtIni[DATA INICIAL],EDATE(J$2,-12)))/(IF(MATCH(J$2,'Fator R'!$B$13:$B$84,0)&gt;12,12,MATCH(J$2,'Fator R'!$B$13:$B$84,0)-(MATCH(J$2,'Fator R'!$B$13:$B$84,0)&lt;&gt;1)))*12,0)</f>
        <v>0</v>
      </c>
      <c r="K5" s="5">
        <f>IFERROR(SUMIFS('Fator R'!$C$13:$C$84,'Fator R'!$B$13:$B$84,IF(MATCH(K$2,'Fator R'!$B$13:$B$84,0)=1,"=","&lt;")&amp;K$2,'Anexo I - Comércio'!$B$21:$B$92,"&gt;="&amp;IF(MATCH(K$2,'Fator R'!$B$13:$B$84,0)&lt;12,T_DtIni[DATA INICIAL],EDATE(K$2,-12)))/(IF(MATCH(K$2,'Fator R'!$B$13:$B$84,0)&gt;12,12,MATCH(K$2,'Fator R'!$B$13:$B$84,0)-(MATCH(K$2,'Fator R'!$B$13:$B$84,0)&lt;&gt;1)))*12,0)</f>
        <v>0</v>
      </c>
      <c r="L5" s="5">
        <f>IFERROR(SUMIFS('Fator R'!$C$13:$C$84,'Fator R'!$B$13:$B$84,IF(MATCH(L$2,'Fator R'!$B$13:$B$84,0)=1,"=","&lt;")&amp;L$2,'Anexo I - Comércio'!$B$21:$B$92,"&gt;="&amp;IF(MATCH(L$2,'Fator R'!$B$13:$B$84,0)&lt;12,T_DtIni[DATA INICIAL],EDATE(L$2,-12)))/(IF(MATCH(L$2,'Fator R'!$B$13:$B$84,0)&gt;12,12,MATCH(L$2,'Fator R'!$B$13:$B$84,0)-(MATCH(L$2,'Fator R'!$B$13:$B$84,0)&lt;&gt;1)))*12,0)</f>
        <v>0</v>
      </c>
      <c r="M5" s="5">
        <f>IFERROR(SUMIFS('Fator R'!$C$13:$C$84,'Fator R'!$B$13:$B$84,IF(MATCH(M$2,'Fator R'!$B$13:$B$84,0)=1,"=","&lt;")&amp;M$2,'Anexo I - Comércio'!$B$21:$B$92,"&gt;="&amp;IF(MATCH(M$2,'Fator R'!$B$13:$B$84,0)&lt;12,T_DtIni[DATA INICIAL],EDATE(M$2,-12)))/(IF(MATCH(M$2,'Fator R'!$B$13:$B$84,0)&gt;12,12,MATCH(M$2,'Fator R'!$B$13:$B$84,0)-(MATCH(M$2,'Fator R'!$B$13:$B$84,0)&lt;&gt;1)))*12,0)</f>
        <v>0</v>
      </c>
      <c r="N5" s="5">
        <f>IFERROR(SUMIFS('Fator R'!$C$13:$C$84,'Fator R'!$B$13:$B$84,IF(MATCH(N$2,'Fator R'!$B$13:$B$84,0)=1,"=","&lt;")&amp;N$2,'Anexo I - Comércio'!$B$21:$B$92,"&gt;="&amp;IF(MATCH(N$2,'Fator R'!$B$13:$B$84,0)&lt;12,T_DtIni[DATA INICIAL],EDATE(N$2,-12)))/(IF(MATCH(N$2,'Fator R'!$B$13:$B$84,0)&gt;12,12,MATCH(N$2,'Fator R'!$B$13:$B$84,0)-(MATCH(N$2,'Fator R'!$B$13:$B$84,0)&lt;&gt;1)))*12,0)</f>
        <v>0</v>
      </c>
      <c r="O5" s="5">
        <f>IFERROR(SUMIFS('Fator R'!$C$13:$C$84,'Fator R'!$B$13:$B$84,IF(MATCH(O$2,'Fator R'!$B$13:$B$84,0)=1,"=","&lt;")&amp;O$2,'Anexo I - Comércio'!$B$21:$B$92,"&gt;="&amp;IF(MATCH(O$2,'Fator R'!$B$13:$B$84,0)&lt;12,T_DtIni[DATA INICIAL],EDATE(O$2,-12)))/(IF(MATCH(O$2,'Fator R'!$B$13:$B$84,0)&gt;12,12,MATCH(O$2,'Fator R'!$B$13:$B$84,0)-(MATCH(O$2,'Fator R'!$B$13:$B$84,0)&lt;&gt;1)))*12,0)</f>
        <v>0</v>
      </c>
      <c r="P5" s="5">
        <f>IFERROR(SUMIFS('Fator R'!$C$13:$C$84,'Fator R'!$B$13:$B$84,IF(MATCH(P$2,'Fator R'!$B$13:$B$84,0)=1,"=","&lt;")&amp;P$2,'Anexo I - Comércio'!$B$21:$B$92,"&gt;="&amp;IF(MATCH(P$2,'Fator R'!$B$13:$B$84,0)&lt;12,T_DtIni[DATA INICIAL],EDATE(P$2,-12)))/(IF(MATCH(P$2,'Fator R'!$B$13:$B$84,0)&gt;12,12,MATCH(P$2,'Fator R'!$B$13:$B$84,0)-(MATCH(P$2,'Fator R'!$B$13:$B$84,0)&lt;&gt;1)))*12,0)</f>
        <v>0</v>
      </c>
      <c r="Q5" s="5">
        <f>IFERROR(SUMIFS('Fator R'!$C$13:$C$84,'Fator R'!$B$13:$B$84,IF(MATCH(Q$2,'Fator R'!$B$13:$B$84,0)=1,"=","&lt;")&amp;Q$2,'Anexo I - Comércio'!$B$21:$B$92,"&gt;="&amp;IF(MATCH(Q$2,'Fator R'!$B$13:$B$84,0)&lt;12,T_DtIni[DATA INICIAL],EDATE(Q$2,-12)))/(IF(MATCH(Q$2,'Fator R'!$B$13:$B$84,0)&gt;12,12,MATCH(Q$2,'Fator R'!$B$13:$B$84,0)-(MATCH(Q$2,'Fator R'!$B$13:$B$84,0)&lt;&gt;1)))*12,0)</f>
        <v>0</v>
      </c>
    </row>
    <row r="6" spans="2:17" x14ac:dyDescent="0.3">
      <c r="B6" s="1"/>
      <c r="D6" s="11" t="s">
        <v>5</v>
      </c>
      <c r="E6" s="13">
        <f>MATCH(E$4,T_Faixa[DE],1)</f>
        <v>1</v>
      </c>
      <c r="F6" s="13">
        <f>MATCH(F$4,T_Faixa[DE],1)</f>
        <v>1</v>
      </c>
      <c r="G6" s="13">
        <f>MATCH(G$4,T_Faixa[DE],1)</f>
        <v>1</v>
      </c>
      <c r="H6" s="13">
        <f>MATCH(H$4,T_Faixa[DE],1)</f>
        <v>1</v>
      </c>
      <c r="I6" s="13">
        <f>MATCH(I$4,T_Faixa[DE],1)</f>
        <v>1</v>
      </c>
      <c r="J6" s="13">
        <f>MATCH(J$4,T_Faixa[DE],1)</f>
        <v>1</v>
      </c>
      <c r="K6" s="13">
        <f>MATCH(K$4,T_Faixa[DE],1)</f>
        <v>1</v>
      </c>
      <c r="L6" s="13">
        <f>MATCH(L$4,T_Faixa[DE],1)</f>
        <v>1</v>
      </c>
      <c r="M6" s="13">
        <f>MATCH(M$4,T_Faixa[DE],1)</f>
        <v>1</v>
      </c>
      <c r="N6" s="13">
        <f>MATCH(N$4,T_Faixa[DE],1)</f>
        <v>1</v>
      </c>
      <c r="O6" s="13">
        <f>MATCH(O$4,T_Faixa[DE],1)</f>
        <v>1</v>
      </c>
      <c r="P6" s="13">
        <f>MATCH(P$4,T_Faixa[DE],1)</f>
        <v>1</v>
      </c>
      <c r="Q6" s="13">
        <f>MATCH(Q$4,T_Faixa[DE],1)</f>
        <v>1</v>
      </c>
    </row>
    <row r="7" spans="2:17" x14ac:dyDescent="0.3">
      <c r="B7" s="1" t="s">
        <v>4</v>
      </c>
      <c r="D7" s="15" t="s">
        <v>21</v>
      </c>
      <c r="E7" s="16">
        <f t="shared" ref="E7:Q7" si="1">IF(E$6&lt;6,E$6+1,"X")</f>
        <v>2</v>
      </c>
      <c r="F7" s="16">
        <f t="shared" si="1"/>
        <v>2</v>
      </c>
      <c r="G7" s="16">
        <f t="shared" si="1"/>
        <v>2</v>
      </c>
      <c r="H7" s="16">
        <f t="shared" si="1"/>
        <v>2</v>
      </c>
      <c r="I7" s="16">
        <f t="shared" si="1"/>
        <v>2</v>
      </c>
      <c r="J7" s="16">
        <f t="shared" si="1"/>
        <v>2</v>
      </c>
      <c r="K7" s="16">
        <f t="shared" si="1"/>
        <v>2</v>
      </c>
      <c r="L7" s="16">
        <f t="shared" si="1"/>
        <v>2</v>
      </c>
      <c r="M7" s="16">
        <f t="shared" si="1"/>
        <v>2</v>
      </c>
      <c r="N7" s="16">
        <f t="shared" si="1"/>
        <v>2</v>
      </c>
      <c r="O7" s="16">
        <f t="shared" si="1"/>
        <v>2</v>
      </c>
      <c r="P7" s="16">
        <f t="shared" si="1"/>
        <v>2</v>
      </c>
      <c r="Q7" s="16">
        <f t="shared" si="1"/>
        <v>2</v>
      </c>
    </row>
    <row r="8" spans="2:17" x14ac:dyDescent="0.3">
      <c r="B8" s="2">
        <f>INDEX('Fator R'!$B$13:$B$84,T_Escolha[DATA ESCOLHIDA])</f>
        <v>43101</v>
      </c>
      <c r="D8" s="9" t="s">
        <v>19</v>
      </c>
      <c r="E8" s="10">
        <f>INDEX(T_Faixa[DE],E$6)</f>
        <v>0</v>
      </c>
      <c r="F8" s="10">
        <f>INDEX(T_Faixa[DE],F$6)</f>
        <v>0</v>
      </c>
      <c r="G8" s="10">
        <f>INDEX(T_Faixa[DE],G$6)</f>
        <v>0</v>
      </c>
      <c r="H8" s="10">
        <f>INDEX(T_Faixa[DE],H$6)</f>
        <v>0</v>
      </c>
      <c r="I8" s="10">
        <f>INDEX(T_Faixa[DE],I$6)</f>
        <v>0</v>
      </c>
      <c r="J8" s="10">
        <f>INDEX(T_Faixa[DE],J$6)</f>
        <v>0</v>
      </c>
      <c r="K8" s="10">
        <f>INDEX(T_Faixa[DE],K$6)</f>
        <v>0</v>
      </c>
      <c r="L8" s="10">
        <f>INDEX(T_Faixa[DE],L$6)</f>
        <v>0</v>
      </c>
      <c r="M8" s="10">
        <f>INDEX(T_Faixa[DE],M$6)</f>
        <v>0</v>
      </c>
      <c r="N8" s="10">
        <f>INDEX(T_Faixa[DE],N$6)</f>
        <v>0</v>
      </c>
      <c r="O8" s="10">
        <f>INDEX(T_Faixa[DE],O$6)</f>
        <v>0</v>
      </c>
      <c r="P8" s="10">
        <f>INDEX(T_Faixa[DE],P$6)</f>
        <v>0</v>
      </c>
      <c r="Q8" s="10">
        <f>INDEX(T_Faixa[DE],Q$6)</f>
        <v>0</v>
      </c>
    </row>
    <row r="9" spans="2:17" x14ac:dyDescent="0.3">
      <c r="B9" s="1"/>
      <c r="D9" s="11" t="s">
        <v>23</v>
      </c>
      <c r="E9" s="10">
        <f>INDEX(T_Faixa[ATE],E$6)</f>
        <v>180000</v>
      </c>
      <c r="F9" s="10">
        <f>INDEX(T_Faixa[ATE],F$6)</f>
        <v>180000</v>
      </c>
      <c r="G9" s="10">
        <f>INDEX(T_Faixa[ATE],G$6)</f>
        <v>180000</v>
      </c>
      <c r="H9" s="10">
        <f>INDEX(T_Faixa[ATE],H$6)</f>
        <v>180000</v>
      </c>
      <c r="I9" s="10">
        <f>INDEX(T_Faixa[ATE],I$6)</f>
        <v>180000</v>
      </c>
      <c r="J9" s="10">
        <f>INDEX(T_Faixa[ATE],J$6)</f>
        <v>180000</v>
      </c>
      <c r="K9" s="10">
        <f>INDEX(T_Faixa[ATE],K$6)</f>
        <v>180000</v>
      </c>
      <c r="L9" s="10">
        <f>INDEX(T_Faixa[ATE],L$6)</f>
        <v>180000</v>
      </c>
      <c r="M9" s="10">
        <f>INDEX(T_Faixa[ATE],M$6)</f>
        <v>180000</v>
      </c>
      <c r="N9" s="10">
        <f>INDEX(T_Faixa[ATE],N$6)</f>
        <v>180000</v>
      </c>
      <c r="O9" s="10">
        <f>INDEX(T_Faixa[ATE],O$6)</f>
        <v>180000</v>
      </c>
      <c r="P9" s="10">
        <f>INDEX(T_Faixa[ATE],P$6)</f>
        <v>180000</v>
      </c>
      <c r="Q9" s="10">
        <f>INDEX(T_Faixa[ATE],Q$6)</f>
        <v>180000</v>
      </c>
    </row>
    <row r="10" spans="2:17" x14ac:dyDescent="0.3">
      <c r="B10" s="1" t="s">
        <v>16</v>
      </c>
      <c r="D10" s="9" t="s">
        <v>20</v>
      </c>
      <c r="E10" s="10">
        <f t="shared" ref="E10:Q10" si="2">E$9-E$4</f>
        <v>180000</v>
      </c>
      <c r="F10" s="10">
        <f t="shared" si="2"/>
        <v>180000</v>
      </c>
      <c r="G10" s="10">
        <f t="shared" si="2"/>
        <v>180000</v>
      </c>
      <c r="H10" s="10">
        <f t="shared" si="2"/>
        <v>180000</v>
      </c>
      <c r="I10" s="10">
        <f t="shared" si="2"/>
        <v>180000</v>
      </c>
      <c r="J10" s="10">
        <f t="shared" si="2"/>
        <v>180000</v>
      </c>
      <c r="K10" s="10">
        <f t="shared" si="2"/>
        <v>180000</v>
      </c>
      <c r="L10" s="10">
        <f t="shared" si="2"/>
        <v>180000</v>
      </c>
      <c r="M10" s="10">
        <f t="shared" si="2"/>
        <v>180000</v>
      </c>
      <c r="N10" s="10">
        <f t="shared" si="2"/>
        <v>180000</v>
      </c>
      <c r="O10" s="10">
        <f t="shared" si="2"/>
        <v>180000</v>
      </c>
      <c r="P10" s="10">
        <f t="shared" si="2"/>
        <v>180000</v>
      </c>
      <c r="Q10" s="10">
        <f t="shared" si="2"/>
        <v>180000</v>
      </c>
    </row>
    <row r="11" spans="2:17" x14ac:dyDescent="0.3">
      <c r="B11" s="1">
        <v>13</v>
      </c>
      <c r="D11" s="11" t="s">
        <v>29</v>
      </c>
      <c r="E11" s="14">
        <f t="shared" ref="E11:P11" si="3">(E$4-E$8)/(E$9-E$8)</f>
        <v>0</v>
      </c>
      <c r="F11" s="14">
        <f t="shared" si="3"/>
        <v>0</v>
      </c>
      <c r="G11" s="14">
        <f t="shared" si="3"/>
        <v>0</v>
      </c>
      <c r="H11" s="14">
        <f t="shared" si="3"/>
        <v>0</v>
      </c>
      <c r="I11" s="14">
        <f t="shared" si="3"/>
        <v>0</v>
      </c>
      <c r="J11" s="14">
        <f t="shared" si="3"/>
        <v>0</v>
      </c>
      <c r="K11" s="14">
        <f t="shared" si="3"/>
        <v>0</v>
      </c>
      <c r="L11" s="14">
        <f t="shared" si="3"/>
        <v>0</v>
      </c>
      <c r="M11" s="14">
        <f t="shared" si="3"/>
        <v>0</v>
      </c>
      <c r="N11" s="14">
        <f t="shared" si="3"/>
        <v>0</v>
      </c>
      <c r="O11" s="14">
        <f t="shared" si="3"/>
        <v>0</v>
      </c>
      <c r="P11" s="14">
        <f t="shared" si="3"/>
        <v>0</v>
      </c>
      <c r="Q11" s="14">
        <f>(Q$4-Q$8)/(Q$9-Q$8)</f>
        <v>0</v>
      </c>
    </row>
    <row r="12" spans="2:17" ht="15" thickBot="1" x14ac:dyDescent="0.35">
      <c r="B12" s="1"/>
      <c r="D12" s="12" t="s">
        <v>28</v>
      </c>
      <c r="E12" s="22">
        <f>IFERROR((SUMIFS('Fator R'!$D$13:$D$84,'Fator R'!$B$13:$B$84,IF(MATCH(E$2,'Fator R'!$B$13:$B$84,0)=1,"=","&lt;")&amp;E$2,'Fator R'!$B$13:$B$84,"&gt;="&amp;IF(MATCH(E$2,'Fator R'!$B$13:$B$84,0)&lt;12,T_DtIni[DATA INICIAL],EDATE(E$2,-12)))/(IF(MATCH(E$2,'Fator R'!$B$13:$B$84,0)&gt;12,12,MATCH(E$2,'Fator R'!$B$13:$B$84,0)))*12)/(SUMIFS('Fator R'!$C$13:$C$84,'Fator R'!$B$13:$B$84,IF(MATCH(E$2,'Fator R'!$B$13:$B$84,0)=1,"=","&lt;")&amp;E$2,'Fator R'!$B$13:$B$84,"&gt;="&amp;IF(MATCH(E$2,'Fator R'!$B$13:$B$84,0)&lt;12,T_DtIni[DATA INICIAL],EDATE(E$2,-12)))/(IF(MATCH(E$2,'Fator R'!$B$13:$B$84,0)&gt;12,12,MATCH(E$2,'Fator R'!$B$13:$B$84,0)))*12),0)</f>
        <v>0</v>
      </c>
      <c r="F12" s="22">
        <f>IFERROR((SUMIFS('Fator R'!$D$13:$D$84,'Fator R'!$B$13:$B$84,IF(MATCH(F$2,'Fator R'!$B$13:$B$84,0)=1,"=","&lt;")&amp;F$2,'Fator R'!$B$13:$B$84,"&gt;="&amp;IF(MATCH(F$2,'Fator R'!$B$13:$B$84,0)&lt;12,T_DtIni[DATA INICIAL],EDATE(F$2,-12)))/(IF(MATCH(F$2,'Fator R'!$B$13:$B$84,0)&gt;12,12,MATCH(F$2,'Fator R'!$B$13:$B$84,0)))*12)/(SUMIFS('Fator R'!$C$13:$C$84,'Fator R'!$B$13:$B$84,IF(MATCH(F$2,'Fator R'!$B$13:$B$84,0)=1,"=","&lt;")&amp;F$2,'Fator R'!$B$13:$B$84,"&gt;="&amp;IF(MATCH(F$2,'Fator R'!$B$13:$B$84,0)&lt;12,T_DtIni[DATA INICIAL],EDATE(F$2,-12)))/(IF(MATCH(F$2,'Fator R'!$B$13:$B$84,0)&gt;12,12,MATCH(F$2,'Fator R'!$B$13:$B$84,0)))*12),0)</f>
        <v>0</v>
      </c>
      <c r="G12" s="22">
        <f>IFERROR((SUMIFS('Fator R'!$D$13:$D$84,'Fator R'!$B$13:$B$84,IF(MATCH(G$2,'Fator R'!$B$13:$B$84,0)=1,"=","&lt;")&amp;G$2,'Fator R'!$B$13:$B$84,"&gt;="&amp;IF(MATCH(G$2,'Fator R'!$B$13:$B$84,0)&lt;12,T_DtIni[DATA INICIAL],EDATE(G$2,-12)))/(IF(MATCH(G$2,'Fator R'!$B$13:$B$84,0)&gt;12,12,MATCH(G$2,'Fator R'!$B$13:$B$84,0)))*12)/(SUMIFS('Fator R'!$C$13:$C$84,'Fator R'!$B$13:$B$84,IF(MATCH(G$2,'Fator R'!$B$13:$B$84,0)=1,"=","&lt;")&amp;G$2,'Fator R'!$B$13:$B$84,"&gt;="&amp;IF(MATCH(G$2,'Fator R'!$B$13:$B$84,0)&lt;12,T_DtIni[DATA INICIAL],EDATE(G$2,-12)))/(IF(MATCH(G$2,'Fator R'!$B$13:$B$84,0)&gt;12,12,MATCH(G$2,'Fator R'!$B$13:$B$84,0)))*12),0)</f>
        <v>0</v>
      </c>
      <c r="H12" s="22">
        <f>IFERROR((SUMIFS('Fator R'!$D$13:$D$84,'Fator R'!$B$13:$B$84,IF(MATCH(H$2,'Fator R'!$B$13:$B$84,0)=1,"=","&lt;")&amp;H$2,'Fator R'!$B$13:$B$84,"&gt;="&amp;IF(MATCH(H$2,'Fator R'!$B$13:$B$84,0)&lt;12,T_DtIni[DATA INICIAL],EDATE(H$2,-12)))/(IF(MATCH(H$2,'Fator R'!$B$13:$B$84,0)&gt;12,12,MATCH(H$2,'Fator R'!$B$13:$B$84,0)))*12)/(SUMIFS('Fator R'!$C$13:$C$84,'Fator R'!$B$13:$B$84,IF(MATCH(H$2,'Fator R'!$B$13:$B$84,0)=1,"=","&lt;")&amp;H$2,'Fator R'!$B$13:$B$84,"&gt;="&amp;IF(MATCH(H$2,'Fator R'!$B$13:$B$84,0)&lt;12,T_DtIni[DATA INICIAL],EDATE(H$2,-12)))/(IF(MATCH(H$2,'Fator R'!$B$13:$B$84,0)&gt;12,12,MATCH(H$2,'Fator R'!$B$13:$B$84,0)))*12),0)</f>
        <v>0</v>
      </c>
      <c r="I12" s="22">
        <f>IFERROR((SUMIFS('Fator R'!$D$13:$D$84,'Fator R'!$B$13:$B$84,IF(MATCH(I$2,'Fator R'!$B$13:$B$84,0)=1,"=","&lt;")&amp;I$2,'Fator R'!$B$13:$B$84,"&gt;="&amp;IF(MATCH(I$2,'Fator R'!$B$13:$B$84,0)&lt;12,T_DtIni[DATA INICIAL],EDATE(I$2,-12)))/(IF(MATCH(I$2,'Fator R'!$B$13:$B$84,0)&gt;12,12,MATCH(I$2,'Fator R'!$B$13:$B$84,0)))*12)/(SUMIFS('Fator R'!$C$13:$C$84,'Fator R'!$B$13:$B$84,IF(MATCH(I$2,'Fator R'!$B$13:$B$84,0)=1,"=","&lt;")&amp;I$2,'Fator R'!$B$13:$B$84,"&gt;="&amp;IF(MATCH(I$2,'Fator R'!$B$13:$B$84,0)&lt;12,T_DtIni[DATA INICIAL],EDATE(I$2,-12)))/(IF(MATCH(I$2,'Fator R'!$B$13:$B$84,0)&gt;12,12,MATCH(I$2,'Fator R'!$B$13:$B$84,0)))*12),0)</f>
        <v>0</v>
      </c>
      <c r="J12" s="22">
        <f>IFERROR((SUMIFS('Fator R'!$D$13:$D$84,'Fator R'!$B$13:$B$84,IF(MATCH(J$2,'Fator R'!$B$13:$B$84,0)=1,"=","&lt;")&amp;J$2,'Fator R'!$B$13:$B$84,"&gt;="&amp;IF(MATCH(J$2,'Fator R'!$B$13:$B$84,0)&lt;12,T_DtIni[DATA INICIAL],EDATE(J$2,-12)))/(IF(MATCH(J$2,'Fator R'!$B$13:$B$84,0)&gt;12,12,MATCH(J$2,'Fator R'!$B$13:$B$84,0)))*12)/(SUMIFS('Fator R'!$C$13:$C$84,'Fator R'!$B$13:$B$84,IF(MATCH(J$2,'Fator R'!$B$13:$B$84,0)=1,"=","&lt;")&amp;J$2,'Fator R'!$B$13:$B$84,"&gt;="&amp;IF(MATCH(J$2,'Fator R'!$B$13:$B$84,0)&lt;12,T_DtIni[DATA INICIAL],EDATE(J$2,-12)))/(IF(MATCH(J$2,'Fator R'!$B$13:$B$84,0)&gt;12,12,MATCH(J$2,'Fator R'!$B$13:$B$84,0)))*12),0)</f>
        <v>0</v>
      </c>
      <c r="K12" s="22">
        <f>IFERROR((SUMIFS('Fator R'!$D$13:$D$84,'Fator R'!$B$13:$B$84,IF(MATCH(K$2,'Fator R'!$B$13:$B$84,0)=1,"=","&lt;")&amp;K$2,'Fator R'!$B$13:$B$84,"&gt;="&amp;IF(MATCH(K$2,'Fator R'!$B$13:$B$84,0)&lt;12,T_DtIni[DATA INICIAL],EDATE(K$2,-12)))/(IF(MATCH(K$2,'Fator R'!$B$13:$B$84,0)&gt;12,12,MATCH(K$2,'Fator R'!$B$13:$B$84,0)))*12)/(SUMIFS('Fator R'!$C$13:$C$84,'Fator R'!$B$13:$B$84,IF(MATCH(K$2,'Fator R'!$B$13:$B$84,0)=1,"=","&lt;")&amp;K$2,'Fator R'!$B$13:$B$84,"&gt;="&amp;IF(MATCH(K$2,'Fator R'!$B$13:$B$84,0)&lt;12,T_DtIni[DATA INICIAL],EDATE(K$2,-12)))/(IF(MATCH(K$2,'Fator R'!$B$13:$B$84,0)&gt;12,12,MATCH(K$2,'Fator R'!$B$13:$B$84,0)))*12),0)</f>
        <v>0</v>
      </c>
      <c r="L12" s="22">
        <f>IFERROR((SUMIFS('Fator R'!$D$13:$D$84,'Fator R'!$B$13:$B$84,IF(MATCH(L$2,'Fator R'!$B$13:$B$84,0)=1,"=","&lt;")&amp;L$2,'Fator R'!$B$13:$B$84,"&gt;="&amp;IF(MATCH(L$2,'Fator R'!$B$13:$B$84,0)&lt;12,T_DtIni[DATA INICIAL],EDATE(L$2,-12)))/(IF(MATCH(L$2,'Fator R'!$B$13:$B$84,0)&gt;12,12,MATCH(L$2,'Fator R'!$B$13:$B$84,0)))*12)/(SUMIFS('Fator R'!$C$13:$C$84,'Fator R'!$B$13:$B$84,IF(MATCH(L$2,'Fator R'!$B$13:$B$84,0)=1,"=","&lt;")&amp;L$2,'Fator R'!$B$13:$B$84,"&gt;="&amp;IF(MATCH(L$2,'Fator R'!$B$13:$B$84,0)&lt;12,T_DtIni[DATA INICIAL],EDATE(L$2,-12)))/(IF(MATCH(L$2,'Fator R'!$B$13:$B$84,0)&gt;12,12,MATCH(L$2,'Fator R'!$B$13:$B$84,0)))*12),0)</f>
        <v>0</v>
      </c>
      <c r="M12" s="22">
        <f>IFERROR((SUMIFS('Fator R'!$D$13:$D$84,'Fator R'!$B$13:$B$84,IF(MATCH(M$2,'Fator R'!$B$13:$B$84,0)=1,"=","&lt;")&amp;M$2,'Fator R'!$B$13:$B$84,"&gt;="&amp;IF(MATCH(M$2,'Fator R'!$B$13:$B$84,0)&lt;12,T_DtIni[DATA INICIAL],EDATE(M$2,-12)))/(IF(MATCH(M$2,'Fator R'!$B$13:$B$84,0)&gt;12,12,MATCH(M$2,'Fator R'!$B$13:$B$84,0)))*12)/(SUMIFS('Fator R'!$C$13:$C$84,'Fator R'!$B$13:$B$84,IF(MATCH(M$2,'Fator R'!$B$13:$B$84,0)=1,"=","&lt;")&amp;M$2,'Fator R'!$B$13:$B$84,"&gt;="&amp;IF(MATCH(M$2,'Fator R'!$B$13:$B$84,0)&lt;12,T_DtIni[DATA INICIAL],EDATE(M$2,-12)))/(IF(MATCH(M$2,'Fator R'!$B$13:$B$84,0)&gt;12,12,MATCH(M$2,'Fator R'!$B$13:$B$84,0)))*12),0)</f>
        <v>0</v>
      </c>
      <c r="N12" s="22">
        <f>IFERROR((SUMIFS('Fator R'!$D$13:$D$84,'Fator R'!$B$13:$B$84,IF(MATCH(N$2,'Fator R'!$B$13:$B$84,0)=1,"=","&lt;")&amp;N$2,'Fator R'!$B$13:$B$84,"&gt;="&amp;IF(MATCH(N$2,'Fator R'!$B$13:$B$84,0)&lt;12,T_DtIni[DATA INICIAL],EDATE(N$2,-12)))/(IF(MATCH(N$2,'Fator R'!$B$13:$B$84,0)&gt;12,12,MATCH(N$2,'Fator R'!$B$13:$B$84,0)))*12)/(SUMIFS('Fator R'!$C$13:$C$84,'Fator R'!$B$13:$B$84,IF(MATCH(N$2,'Fator R'!$B$13:$B$84,0)=1,"=","&lt;")&amp;N$2,'Fator R'!$B$13:$B$84,"&gt;="&amp;IF(MATCH(N$2,'Fator R'!$B$13:$B$84,0)&lt;12,T_DtIni[DATA INICIAL],EDATE(N$2,-12)))/(IF(MATCH(N$2,'Fator R'!$B$13:$B$84,0)&gt;12,12,MATCH(N$2,'Fator R'!$B$13:$B$84,0)))*12),0)</f>
        <v>0</v>
      </c>
      <c r="O12" s="22">
        <f>IFERROR((SUMIFS('Fator R'!$D$13:$D$84,'Fator R'!$B$13:$B$84,IF(MATCH(O$2,'Fator R'!$B$13:$B$84,0)=1,"=","&lt;")&amp;O$2,'Fator R'!$B$13:$B$84,"&gt;="&amp;IF(MATCH(O$2,'Fator R'!$B$13:$B$84,0)&lt;12,T_DtIni[DATA INICIAL],EDATE(O$2,-12)))/(IF(MATCH(O$2,'Fator R'!$B$13:$B$84,0)&gt;12,12,MATCH(O$2,'Fator R'!$B$13:$B$84,0)))*12)/(SUMIFS('Fator R'!$C$13:$C$84,'Fator R'!$B$13:$B$84,IF(MATCH(O$2,'Fator R'!$B$13:$B$84,0)=1,"=","&lt;")&amp;O$2,'Fator R'!$B$13:$B$84,"&gt;="&amp;IF(MATCH(O$2,'Fator R'!$B$13:$B$84,0)&lt;12,T_DtIni[DATA INICIAL],EDATE(O$2,-12)))/(IF(MATCH(O$2,'Fator R'!$B$13:$B$84,0)&gt;12,12,MATCH(O$2,'Fator R'!$B$13:$B$84,0)))*12),0)</f>
        <v>0</v>
      </c>
      <c r="P12" s="22">
        <f>IFERROR((SUMIFS('Fator R'!$D$13:$D$84,'Fator R'!$B$13:$B$84,IF(MATCH(P$2,'Fator R'!$B$13:$B$84,0)=1,"=","&lt;")&amp;P$2,'Fator R'!$B$13:$B$84,"&gt;="&amp;IF(MATCH(P$2,'Fator R'!$B$13:$B$84,0)&lt;12,T_DtIni[DATA INICIAL],EDATE(P$2,-12)))/(IF(MATCH(P$2,'Fator R'!$B$13:$B$84,0)&gt;12,12,MATCH(P$2,'Fator R'!$B$13:$B$84,0)))*12)/(SUMIFS('Fator R'!$C$13:$C$84,'Fator R'!$B$13:$B$84,IF(MATCH(P$2,'Fator R'!$B$13:$B$84,0)=1,"=","&lt;")&amp;P$2,'Fator R'!$B$13:$B$84,"&gt;="&amp;IF(MATCH(P$2,'Fator R'!$B$13:$B$84,0)&lt;12,T_DtIni[DATA INICIAL],EDATE(P$2,-12)))/(IF(MATCH(P$2,'Fator R'!$B$13:$B$84,0)&gt;12,12,MATCH(P$2,'Fator R'!$B$13:$B$84,0)))*12),0)</f>
        <v>0</v>
      </c>
      <c r="Q12" s="22">
        <f>IFERROR((SUMIFS('Fator R'!$D$13:$D$84,'Fator R'!$B$13:$B$84,IF(MATCH(Q$2,'Fator R'!$B$13:$B$84,0)=1,"=","&lt;")&amp;Q$2,'Fator R'!$B$13:$B$84,"&gt;="&amp;IF(MATCH(Q$2,'Fator R'!$B$13:$B$84,0)&lt;12,T_DtIni[DATA INICIAL],EDATE(Q$2,-12)))/(IF(MATCH(Q$2,'Fator R'!$B$13:$B$84,0)&gt;12,12,MATCH(Q$2,'Fator R'!$B$13:$B$84,0)))*12)/(SUMIFS('Fator R'!$C$13:$C$84,'Fator R'!$B$13:$B$84,IF(MATCH(Q$2,'Fator R'!$B$13:$B$84,0)=1,"=","&lt;")&amp;Q$2,'Fator R'!$B$13:$B$84,"&gt;="&amp;IF(MATCH(Q$2,'Fator R'!$B$13:$B$84,0)&lt;12,T_DtIni[DATA INICIAL],EDATE(Q$2,-12)))/(IF(MATCH(Q$2,'Fator R'!$B$13:$B$84,0)&gt;12,12,MATCH(Q$2,'Fator R'!$B$13:$B$84,0)))*12),0)</f>
        <v>0</v>
      </c>
    </row>
    <row r="13" spans="2:17" x14ac:dyDescent="0.3">
      <c r="B13" s="1" t="s">
        <v>17</v>
      </c>
    </row>
    <row r="14" spans="2:17" x14ac:dyDescent="0.3">
      <c r="B14" s="1">
        <f>IF(MATCH(Q$2,'Fator R'!$B$13:$B$84,0)&gt;12,12,MATCH(Q$2,'Fator R'!$B$13:$B$84,0))</f>
        <v>12</v>
      </c>
      <c r="D14" s="9" t="s">
        <v>5</v>
      </c>
      <c r="E14" s="9" t="s">
        <v>6</v>
      </c>
      <c r="F14" s="9" t="s">
        <v>7</v>
      </c>
      <c r="H14" t="s">
        <v>17</v>
      </c>
      <c r="J14" t="s">
        <v>48</v>
      </c>
      <c r="L14" t="s">
        <v>67</v>
      </c>
    </row>
    <row r="15" spans="2:17" x14ac:dyDescent="0.3">
      <c r="D15" s="19">
        <v>1</v>
      </c>
      <c r="E15" s="10">
        <v>0</v>
      </c>
      <c r="F15" s="10">
        <v>180000</v>
      </c>
      <c r="H15" t="s">
        <v>51</v>
      </c>
      <c r="J15" s="1">
        <v>2017</v>
      </c>
      <c r="L15" t="s">
        <v>68</v>
      </c>
    </row>
    <row r="16" spans="2:17" x14ac:dyDescent="0.3">
      <c r="B16" s="1" t="s">
        <v>25</v>
      </c>
      <c r="D16" s="19">
        <v>2</v>
      </c>
      <c r="E16" s="10">
        <v>180000.01</v>
      </c>
      <c r="F16" s="10">
        <v>360000</v>
      </c>
      <c r="H16" t="s">
        <v>52</v>
      </c>
      <c r="J16" s="1">
        <v>2018</v>
      </c>
      <c r="L16" t="s">
        <v>69</v>
      </c>
    </row>
    <row r="17" spans="2:10" x14ac:dyDescent="0.3">
      <c r="B17" s="1">
        <f>IF((YEAR(T_DtRef[DATA REFERENCIA])-YEAR(T_DtIni[DATA INICIAL]))*12 +MONTH(T_DtRef[DATA REFERENCIA])-MONTH(T_DtIni[DATA INICIAL])&gt;12,12,(YEAR(T_DtRef[DATA REFERENCIA])-YEAR(T_DtIni[DATA INICIAL]))*12 +MONTH(T_DtRef[DATA REFERENCIA])-MONTH(T_DtIni[DATA INICIAL]))</f>
        <v>12</v>
      </c>
      <c r="D17" s="19">
        <v>3</v>
      </c>
      <c r="E17" s="10">
        <v>360000.01</v>
      </c>
      <c r="F17" s="10">
        <v>720000</v>
      </c>
      <c r="H17" t="s">
        <v>53</v>
      </c>
      <c r="J17" s="1">
        <v>2019</v>
      </c>
    </row>
    <row r="18" spans="2:10" x14ac:dyDescent="0.3">
      <c r="D18" s="19">
        <v>4</v>
      </c>
      <c r="E18" s="10">
        <v>720000.01</v>
      </c>
      <c r="F18" s="10">
        <v>1800000</v>
      </c>
      <c r="H18" t="s">
        <v>54</v>
      </c>
      <c r="J18" s="1">
        <v>2020</v>
      </c>
    </row>
    <row r="19" spans="2:10" x14ac:dyDescent="0.3">
      <c r="B19" t="s">
        <v>30</v>
      </c>
      <c r="D19" s="19">
        <v>5</v>
      </c>
      <c r="E19" s="10">
        <v>1800000.01</v>
      </c>
      <c r="F19" s="10">
        <v>3600000</v>
      </c>
      <c r="H19" t="s">
        <v>55</v>
      </c>
      <c r="J19" s="1">
        <v>2021</v>
      </c>
    </row>
    <row r="20" spans="2:10" x14ac:dyDescent="0.3">
      <c r="B20" s="21">
        <v>0.28000000000000003</v>
      </c>
      <c r="D20" s="19">
        <v>6</v>
      </c>
      <c r="E20" s="10">
        <v>3600000.01</v>
      </c>
      <c r="F20" s="10">
        <v>4800000</v>
      </c>
      <c r="H20" t="s">
        <v>56</v>
      </c>
    </row>
    <row r="21" spans="2:10" x14ac:dyDescent="0.3">
      <c r="H21" t="s">
        <v>57</v>
      </c>
    </row>
    <row r="22" spans="2:10" x14ac:dyDescent="0.3">
      <c r="B22" t="s">
        <v>49</v>
      </c>
      <c r="H22" t="s">
        <v>58</v>
      </c>
    </row>
    <row r="23" spans="2:10" x14ac:dyDescent="0.3">
      <c r="B23">
        <v>1</v>
      </c>
      <c r="H23" t="s">
        <v>59</v>
      </c>
    </row>
    <row r="24" spans="2:10" x14ac:dyDescent="0.3">
      <c r="H24" t="s">
        <v>60</v>
      </c>
    </row>
    <row r="25" spans="2:10" x14ac:dyDescent="0.3">
      <c r="B25" t="s">
        <v>50</v>
      </c>
      <c r="H25" t="s">
        <v>61</v>
      </c>
    </row>
    <row r="26" spans="2:10" x14ac:dyDescent="0.3">
      <c r="B26">
        <v>1</v>
      </c>
      <c r="H26" t="s">
        <v>62</v>
      </c>
    </row>
    <row r="28" spans="2:10" x14ac:dyDescent="0.3">
      <c r="B28" t="s">
        <v>65</v>
      </c>
    </row>
    <row r="29" spans="2:10" x14ac:dyDescent="0.3">
      <c r="B29">
        <v>2</v>
      </c>
    </row>
    <row r="31" spans="2:10" x14ac:dyDescent="0.3">
      <c r="B31" t="s">
        <v>66</v>
      </c>
    </row>
    <row r="32" spans="2:10" x14ac:dyDescent="0.3">
      <c r="B32">
        <v>2</v>
      </c>
    </row>
    <row r="34" spans="2:2" x14ac:dyDescent="0.3">
      <c r="B34" t="s">
        <v>80</v>
      </c>
    </row>
    <row r="35" spans="2:2" x14ac:dyDescent="0.3">
      <c r="B35" t="b">
        <f>IFERROR(SUMIFS('Fator R'!$D$13:$D$84,'Fator R'!$B$13:$B$84,"&lt;="&amp;T_DtRef[DATA REFERENCIA],'Fator R'!$B$13:$B$84,"&gt;="&amp;DATE(YEAR(T_DtRef[DATA REFERENCIA]),1,1)),0)&gt;3600000</f>
        <v>0</v>
      </c>
    </row>
  </sheetData>
  <sheetProtection selectLockedCells="1"/>
  <conditionalFormatting sqref="D15:F20">
    <cfRule type="expression" dxfId="24" priority="1">
      <formula>INDIRECT("T_Faixa[[#Esta Linha];[FAIXA]]")=$Q$6</formula>
    </cfRule>
  </conditionalFormatting>
  <pageMargins left="0.51181102362204722" right="0.51181102362204722" top="0.78740157480314965" bottom="0.78740157480314965" header="0.31496062992125984" footer="0.31496062992125984"/>
  <pageSetup paperSize="9" scale="94" orientation="landscape" r:id="rId1"/>
  <colBreaks count="1" manualBreakCount="1">
    <brk id="12" max="1048575" man="1"/>
  </colBreaks>
  <drawing r:id="rId2"/>
  <tableParts count="1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declare contábil</vt:lpstr>
      <vt:lpstr>INSTRUÇÕES</vt:lpstr>
      <vt:lpstr>Fator R</vt:lpstr>
      <vt:lpstr>Anexo I - Comércio</vt:lpstr>
      <vt:lpstr>Anexo II - Indústria</vt:lpstr>
      <vt:lpstr>Anexo III - Serviços</vt:lpstr>
      <vt:lpstr>Anexo IV - Serviços</vt:lpstr>
      <vt:lpstr>Anexo V - Serviços</vt:lpstr>
      <vt:lpstr>SUPORTE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Haragushiku</dc:creator>
  <cp:lastModifiedBy>Carolina Feijó</cp:lastModifiedBy>
  <dcterms:created xsi:type="dcterms:W3CDTF">2018-08-20T13:11:19Z</dcterms:created>
  <dcterms:modified xsi:type="dcterms:W3CDTF">2018-09-11T17:50:19Z</dcterms:modified>
</cp:coreProperties>
</file>